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4"/>
  </bookViews>
  <sheets>
    <sheet name="Orçamento" sheetId="1" r:id="rId1"/>
    <sheet name="Cronograma" sheetId="3" r:id="rId2"/>
    <sheet name="Composição" sheetId="2" r:id="rId3"/>
    <sheet name="BDI" sheetId="4" r:id="rId4"/>
    <sheet name="Memoria de calculo" sheetId="5" r:id="rId5"/>
  </sheets>
  <externalReferences>
    <externalReference r:id="rId6"/>
  </externalReferences>
  <definedNames>
    <definedName name="_xlnm.Print_Area" localSheetId="2">Composição!$B$1:$G$294</definedName>
    <definedName name="_xlnm.Print_Area" localSheetId="4">'Memoria de calculo'!$B$2:$J$127</definedName>
    <definedName name="_xlnm.Print_Area" localSheetId="0">Orçamento!$B$2:$H$132</definedName>
  </definedNames>
  <calcPr calcId="152511"/>
</workbook>
</file>

<file path=xl/calcChain.xml><?xml version="1.0" encoding="utf-8"?>
<calcChain xmlns="http://schemas.openxmlformats.org/spreadsheetml/2006/main">
  <c r="F18" i="5" l="1"/>
  <c r="F19" i="5"/>
  <c r="F20" i="5"/>
  <c r="F21" i="5"/>
  <c r="F22" i="5"/>
  <c r="F23" i="5"/>
  <c r="F24" i="5"/>
  <c r="F17" i="5"/>
  <c r="F27" i="5"/>
  <c r="F28" i="5"/>
  <c r="F29" i="5"/>
  <c r="F30" i="5"/>
  <c r="F31" i="5"/>
  <c r="F32" i="5"/>
  <c r="F33" i="5"/>
  <c r="F26" i="5"/>
  <c r="F36" i="5"/>
  <c r="F37" i="5"/>
  <c r="F38" i="5"/>
  <c r="F35" i="5"/>
  <c r="F51" i="5"/>
  <c r="F52" i="5"/>
  <c r="F53" i="5"/>
  <c r="F54" i="5"/>
  <c r="F55" i="5"/>
  <c r="F50" i="5"/>
  <c r="F58" i="5"/>
  <c r="F59" i="5"/>
  <c r="F60" i="5"/>
  <c r="F61" i="5"/>
  <c r="F62" i="5"/>
  <c r="F63" i="5"/>
  <c r="F64" i="5"/>
  <c r="F65" i="5"/>
  <c r="F66" i="5"/>
  <c r="F67" i="5"/>
  <c r="F68" i="5"/>
  <c r="F57" i="5"/>
  <c r="F80" i="5"/>
  <c r="F79" i="5"/>
  <c r="F78" i="5"/>
  <c r="F77" i="5"/>
  <c r="F76" i="5"/>
  <c r="F75" i="5"/>
  <c r="F74" i="5"/>
  <c r="I31" i="5" l="1"/>
  <c r="G32" i="5"/>
  <c r="G33" i="5"/>
  <c r="H30" i="5"/>
  <c r="H29" i="5"/>
  <c r="H28" i="5"/>
  <c r="H27" i="5"/>
  <c r="G26" i="5"/>
  <c r="H23" i="5"/>
  <c r="H22" i="5"/>
  <c r="H21" i="5"/>
  <c r="G19" i="5"/>
  <c r="H18" i="5"/>
  <c r="H38" i="5"/>
  <c r="H37" i="5"/>
  <c r="G36" i="5"/>
  <c r="G35" i="5"/>
  <c r="H55" i="5"/>
  <c r="I51" i="5"/>
  <c r="I52" i="5"/>
  <c r="I53" i="5"/>
  <c r="I54" i="5"/>
  <c r="I50" i="5"/>
  <c r="G61" i="5"/>
  <c r="G62" i="5"/>
  <c r="H63" i="5"/>
  <c r="H64" i="5"/>
  <c r="H65" i="5"/>
  <c r="I67" i="5"/>
  <c r="G68" i="5"/>
  <c r="H60" i="5"/>
  <c r="G57" i="5" l="1"/>
  <c r="G58" i="5"/>
  <c r="G59" i="5"/>
  <c r="L58" i="5"/>
  <c r="J66" i="5"/>
  <c r="C127" i="5"/>
  <c r="D127" i="5"/>
  <c r="E127" i="5"/>
  <c r="D126" i="5"/>
  <c r="E126" i="5"/>
  <c r="C126" i="5"/>
  <c r="J120" i="5"/>
  <c r="J118" i="5"/>
  <c r="J119" i="5"/>
  <c r="J121" i="5"/>
  <c r="J117" i="5"/>
  <c r="J107" i="5"/>
  <c r="J108" i="5"/>
  <c r="J109" i="5"/>
  <c r="J110" i="5"/>
  <c r="J111" i="5"/>
  <c r="J112" i="5"/>
  <c r="J113" i="5"/>
  <c r="J114" i="5"/>
  <c r="J115" i="5"/>
  <c r="J106" i="5"/>
  <c r="J124" i="5"/>
  <c r="J123" i="5"/>
  <c r="D122" i="5"/>
  <c r="C123" i="5"/>
  <c r="D123" i="5"/>
  <c r="E123" i="5"/>
  <c r="F123" i="5"/>
  <c r="C124" i="5"/>
  <c r="D124" i="5"/>
  <c r="E124" i="5"/>
  <c r="F124" i="5"/>
  <c r="C107" i="5"/>
  <c r="D107" i="5"/>
  <c r="E107" i="5"/>
  <c r="F107" i="5"/>
  <c r="C108" i="5"/>
  <c r="D108" i="5"/>
  <c r="E108" i="5"/>
  <c r="F108" i="5"/>
  <c r="C109" i="5"/>
  <c r="D109" i="5"/>
  <c r="E109" i="5"/>
  <c r="F109" i="5"/>
  <c r="C110" i="5"/>
  <c r="D110" i="5"/>
  <c r="E110" i="5"/>
  <c r="F110" i="5"/>
  <c r="C111" i="5"/>
  <c r="D111" i="5"/>
  <c r="E111" i="5"/>
  <c r="F111" i="5"/>
  <c r="C112" i="5"/>
  <c r="D112" i="5"/>
  <c r="E112" i="5"/>
  <c r="F112" i="5"/>
  <c r="C113" i="5"/>
  <c r="D113" i="5"/>
  <c r="E113" i="5"/>
  <c r="F113" i="5"/>
  <c r="C114" i="5"/>
  <c r="D114" i="5"/>
  <c r="E114" i="5"/>
  <c r="F114" i="5"/>
  <c r="C115" i="5"/>
  <c r="D115" i="5"/>
  <c r="E115" i="5"/>
  <c r="F115" i="5"/>
  <c r="D116" i="5"/>
  <c r="C117" i="5"/>
  <c r="D117" i="5"/>
  <c r="E117" i="5"/>
  <c r="F117" i="5"/>
  <c r="C118" i="5"/>
  <c r="D118" i="5"/>
  <c r="E118" i="5"/>
  <c r="F118" i="5"/>
  <c r="C119" i="5"/>
  <c r="D119" i="5"/>
  <c r="E119" i="5"/>
  <c r="F119" i="5"/>
  <c r="C120" i="5"/>
  <c r="D120" i="5"/>
  <c r="E120" i="5"/>
  <c r="G120" i="5"/>
  <c r="C121" i="5"/>
  <c r="D121" i="5"/>
  <c r="E121" i="5"/>
  <c r="F121" i="5"/>
  <c r="D106" i="5"/>
  <c r="E106" i="5"/>
  <c r="F106" i="5"/>
  <c r="C106" i="5"/>
  <c r="J85" i="5"/>
  <c r="D82" i="5"/>
  <c r="D83" i="5"/>
  <c r="E83" i="5"/>
  <c r="F83" i="5"/>
  <c r="J83" i="5" s="1"/>
  <c r="D84" i="5"/>
  <c r="E84" i="5"/>
  <c r="F84" i="5"/>
  <c r="J84" i="5" s="1"/>
  <c r="D85" i="5"/>
  <c r="E85" i="5"/>
  <c r="F85" i="5"/>
  <c r="D86" i="5"/>
  <c r="E86" i="5"/>
  <c r="F86" i="5"/>
  <c r="J86" i="5" s="1"/>
  <c r="D87" i="5"/>
  <c r="E87" i="5"/>
  <c r="F87" i="5"/>
  <c r="J87" i="5" s="1"/>
  <c r="D88" i="5"/>
  <c r="E88" i="5"/>
  <c r="F88" i="5"/>
  <c r="J88" i="5" s="1"/>
  <c r="D89" i="5"/>
  <c r="D90" i="5"/>
  <c r="E90" i="5"/>
  <c r="F90" i="5"/>
  <c r="J90" i="5" s="1"/>
  <c r="D91" i="5"/>
  <c r="E91" i="5"/>
  <c r="F91" i="5"/>
  <c r="J91" i="5" s="1"/>
  <c r="D92" i="5"/>
  <c r="E92" i="5"/>
  <c r="F92" i="5"/>
  <c r="J92" i="5" s="1"/>
  <c r="D93" i="5"/>
  <c r="E93" i="5"/>
  <c r="F93" i="5"/>
  <c r="J93" i="5" s="1"/>
  <c r="D94" i="5"/>
  <c r="E94" i="5"/>
  <c r="F94" i="5"/>
  <c r="J94" i="5" s="1"/>
  <c r="D95" i="5"/>
  <c r="E95" i="5"/>
  <c r="F95" i="5"/>
  <c r="J95" i="5" s="1"/>
  <c r="D96" i="5"/>
  <c r="E96" i="5"/>
  <c r="F96" i="5"/>
  <c r="J96" i="5" s="1"/>
  <c r="D97" i="5"/>
  <c r="E97" i="5"/>
  <c r="F97" i="5"/>
  <c r="J97" i="5" s="1"/>
  <c r="D98" i="5"/>
  <c r="E98" i="5"/>
  <c r="F98" i="5"/>
  <c r="J98" i="5" s="1"/>
  <c r="D99" i="5"/>
  <c r="E99" i="5"/>
  <c r="F99" i="5"/>
  <c r="J99" i="5" s="1"/>
  <c r="D100" i="5"/>
  <c r="E100" i="5"/>
  <c r="F100" i="5"/>
  <c r="J100" i="5" s="1"/>
  <c r="D101" i="5"/>
  <c r="E101" i="5"/>
  <c r="F101" i="5"/>
  <c r="J101" i="5" s="1"/>
  <c r="D102" i="5"/>
  <c r="E102" i="5"/>
  <c r="F102" i="5"/>
  <c r="J102" i="5" s="1"/>
  <c r="D103" i="5"/>
  <c r="E103" i="5"/>
  <c r="F103" i="5"/>
  <c r="J103" i="5" s="1"/>
  <c r="D104" i="5"/>
  <c r="E104" i="5"/>
  <c r="F104" i="5"/>
  <c r="J104" i="5" s="1"/>
  <c r="C83" i="5"/>
  <c r="C84" i="5"/>
  <c r="C85" i="5"/>
  <c r="C86" i="5"/>
  <c r="C87" i="5"/>
  <c r="C88" i="5"/>
  <c r="C90" i="5"/>
  <c r="C91" i="5"/>
  <c r="C92" i="5"/>
  <c r="C93" i="5"/>
  <c r="C94" i="5"/>
  <c r="C95" i="5"/>
  <c r="C96" i="5"/>
  <c r="C97" i="5"/>
  <c r="C98" i="5"/>
  <c r="C99" i="5"/>
  <c r="C100" i="5"/>
  <c r="C101" i="5"/>
  <c r="C102" i="5"/>
  <c r="C103" i="5"/>
  <c r="C104" i="5"/>
  <c r="H80" i="5"/>
  <c r="H78" i="5"/>
  <c r="J74" i="5"/>
  <c r="J77" i="5"/>
  <c r="J76" i="5"/>
  <c r="C75" i="5"/>
  <c r="D75" i="5"/>
  <c r="E75" i="5"/>
  <c r="C76" i="5"/>
  <c r="D76" i="5"/>
  <c r="E76" i="5"/>
  <c r="C77" i="5"/>
  <c r="D77" i="5"/>
  <c r="E77" i="5"/>
  <c r="C78" i="5"/>
  <c r="D78" i="5"/>
  <c r="E78" i="5"/>
  <c r="C79" i="5"/>
  <c r="D79" i="5"/>
  <c r="E79" i="5"/>
  <c r="C80" i="5"/>
  <c r="D80" i="5"/>
  <c r="E80" i="5"/>
  <c r="D74" i="5"/>
  <c r="E74" i="5"/>
  <c r="C74" i="5"/>
  <c r="J43" i="5"/>
  <c r="J44" i="5"/>
  <c r="F40" i="5"/>
  <c r="J40" i="5" s="1"/>
  <c r="F41" i="5"/>
  <c r="J41" i="5" s="1"/>
  <c r="F42" i="5"/>
  <c r="J42" i="5" s="1"/>
  <c r="F43" i="5"/>
  <c r="F44" i="5"/>
  <c r="F45" i="5"/>
  <c r="J45" i="5" s="1"/>
  <c r="F46" i="5"/>
  <c r="J46" i="5" s="1"/>
  <c r="F47" i="5"/>
  <c r="J47" i="5" s="1"/>
  <c r="F48" i="5"/>
  <c r="J48" i="5" s="1"/>
  <c r="F49" i="5"/>
  <c r="J49" i="5" s="1"/>
  <c r="F70" i="5"/>
  <c r="J70" i="5" s="1"/>
  <c r="F71" i="5"/>
  <c r="J71" i="5" s="1"/>
  <c r="F72" i="5"/>
  <c r="J72" i="5" s="1"/>
  <c r="C71" i="5"/>
  <c r="D71" i="5"/>
  <c r="E71" i="5"/>
  <c r="C72" i="5"/>
  <c r="D72" i="5"/>
  <c r="E72" i="5"/>
  <c r="D70" i="5"/>
  <c r="E70" i="5"/>
  <c r="C70" i="5"/>
  <c r="C58" i="5"/>
  <c r="D58" i="5"/>
  <c r="E58" i="5"/>
  <c r="C59" i="5"/>
  <c r="D59" i="5"/>
  <c r="E59" i="5"/>
  <c r="C60" i="5"/>
  <c r="D60" i="5"/>
  <c r="E60" i="5"/>
  <c r="C61" i="5"/>
  <c r="D61" i="5"/>
  <c r="E61" i="5"/>
  <c r="C62" i="5"/>
  <c r="D62" i="5"/>
  <c r="E62" i="5"/>
  <c r="C63" i="5"/>
  <c r="D63" i="5"/>
  <c r="E63" i="5"/>
  <c r="C64" i="5"/>
  <c r="D64" i="5"/>
  <c r="E64" i="5"/>
  <c r="C65" i="5"/>
  <c r="D65" i="5"/>
  <c r="E65" i="5"/>
  <c r="C66" i="5"/>
  <c r="D66" i="5"/>
  <c r="E66" i="5"/>
  <c r="C67" i="5"/>
  <c r="D67" i="5"/>
  <c r="E67" i="5"/>
  <c r="C68" i="5"/>
  <c r="D68" i="5"/>
  <c r="E68" i="5"/>
  <c r="D57" i="5"/>
  <c r="E57" i="5"/>
  <c r="C57"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D40" i="5"/>
  <c r="E40" i="5"/>
  <c r="C40" i="5"/>
  <c r="C36" i="5"/>
  <c r="D36" i="5"/>
  <c r="E36" i="5"/>
  <c r="C37" i="5"/>
  <c r="D37" i="5"/>
  <c r="E37" i="5"/>
  <c r="C38" i="5"/>
  <c r="D38" i="5"/>
  <c r="E38" i="5"/>
  <c r="D35" i="5"/>
  <c r="E35" i="5"/>
  <c r="C35" i="5"/>
  <c r="D26" i="5"/>
  <c r="E26" i="5"/>
  <c r="D27" i="5"/>
  <c r="E27" i="5"/>
  <c r="D28" i="5"/>
  <c r="E28" i="5"/>
  <c r="D29" i="5"/>
  <c r="E29" i="5"/>
  <c r="D30" i="5"/>
  <c r="E30" i="5"/>
  <c r="D31" i="5"/>
  <c r="E31" i="5"/>
  <c r="D32" i="5"/>
  <c r="E32" i="5"/>
  <c r="D33" i="5"/>
  <c r="E33" i="5"/>
  <c r="C27" i="5"/>
  <c r="C28" i="5"/>
  <c r="C29" i="5"/>
  <c r="C30" i="5"/>
  <c r="C31" i="5"/>
  <c r="C32" i="5"/>
  <c r="C33" i="5"/>
  <c r="C26" i="5"/>
  <c r="J12" i="5"/>
  <c r="J13" i="5"/>
  <c r="J11" i="5"/>
  <c r="J18" i="5"/>
  <c r="J19" i="5"/>
  <c r="J20" i="5"/>
  <c r="J21" i="5"/>
  <c r="J22" i="5"/>
  <c r="J23" i="5"/>
  <c r="J24" i="5"/>
  <c r="J17" i="5"/>
  <c r="C18" i="5"/>
  <c r="D18" i="5"/>
  <c r="E18" i="5"/>
  <c r="C19" i="5"/>
  <c r="D19" i="5"/>
  <c r="E19" i="5"/>
  <c r="C20" i="5"/>
  <c r="D20" i="5"/>
  <c r="E20" i="5"/>
  <c r="C21" i="5"/>
  <c r="D21" i="5"/>
  <c r="E21" i="5"/>
  <c r="C22" i="5"/>
  <c r="D22" i="5"/>
  <c r="E22" i="5"/>
  <c r="C23" i="5"/>
  <c r="D23" i="5"/>
  <c r="E23" i="5"/>
  <c r="C24" i="5"/>
  <c r="D24" i="5"/>
  <c r="E24" i="5"/>
  <c r="D17" i="5"/>
  <c r="E17" i="5"/>
  <c r="C17" i="5"/>
  <c r="C12" i="5"/>
  <c r="D12" i="5"/>
  <c r="E12" i="5"/>
  <c r="C13" i="5"/>
  <c r="D13" i="5"/>
  <c r="E13" i="5"/>
  <c r="D11" i="5"/>
  <c r="E11" i="5"/>
  <c r="C11" i="5"/>
  <c r="D73" i="5"/>
  <c r="D69" i="5"/>
  <c r="B67" i="5"/>
  <c r="B68" i="5"/>
  <c r="B58" i="5"/>
  <c r="B59" i="5"/>
  <c r="B60" i="5"/>
  <c r="B61" i="5"/>
  <c r="B62" i="5"/>
  <c r="B63" i="5"/>
  <c r="B64" i="5"/>
  <c r="B65" i="5"/>
  <c r="B66" i="5"/>
  <c r="B27" i="5"/>
  <c r="B28" i="5"/>
  <c r="B29" i="5"/>
  <c r="B30" i="5"/>
  <c r="B31" i="5"/>
  <c r="B32" i="5"/>
  <c r="B33" i="5"/>
  <c r="B24" i="5"/>
  <c r="B18" i="5"/>
  <c r="B19" i="5"/>
  <c r="B20" i="5"/>
  <c r="B21" i="5"/>
  <c r="B22" i="5"/>
  <c r="B23" i="5"/>
  <c r="A10" i="3"/>
  <c r="A9" i="3"/>
  <c r="A8" i="3"/>
  <c r="H36" i="3"/>
  <c r="G36" i="3"/>
  <c r="F36" i="3"/>
  <c r="E15" i="3"/>
  <c r="F15" i="3"/>
  <c r="G15" i="3"/>
  <c r="H15" i="3"/>
  <c r="I15" i="3"/>
  <c r="J15" i="3"/>
  <c r="D43" i="3"/>
  <c r="D40" i="3"/>
  <c r="D37" i="3"/>
  <c r="D34" i="3"/>
  <c r="D31" i="3"/>
  <c r="D28" i="3"/>
  <c r="D25" i="3"/>
  <c r="D22" i="3"/>
  <c r="D19" i="3"/>
  <c r="D16" i="3"/>
  <c r="D13" i="3"/>
  <c r="C32" i="3"/>
  <c r="H108" i="1"/>
  <c r="H76" i="1"/>
  <c r="H72" i="1"/>
  <c r="H59" i="1"/>
  <c r="H42" i="1"/>
  <c r="H37" i="1"/>
  <c r="H28" i="1"/>
  <c r="H15" i="1"/>
  <c r="H48" i="1"/>
  <c r="H49" i="1"/>
  <c r="H50" i="1"/>
  <c r="H51" i="1"/>
  <c r="H52" i="1"/>
  <c r="G184" i="2"/>
  <c r="G183" i="2"/>
  <c r="G182" i="2"/>
  <c r="G181" i="2"/>
  <c r="G180" i="2"/>
  <c r="G179" i="2"/>
  <c r="G178" i="2"/>
  <c r="G177" i="2"/>
  <c r="J292" i="2"/>
  <c r="J291" i="2"/>
  <c r="G168" i="2"/>
  <c r="G167" i="2"/>
  <c r="G166" i="2"/>
  <c r="G165" i="2"/>
  <c r="G164" i="2"/>
  <c r="G163" i="2"/>
  <c r="G162" i="2"/>
  <c r="G161" i="2"/>
  <c r="G160" i="2"/>
  <c r="G159" i="2"/>
  <c r="J276" i="2"/>
  <c r="J275" i="2"/>
  <c r="G150" i="2"/>
  <c r="G149" i="2"/>
  <c r="G148" i="2"/>
  <c r="G147" i="2"/>
  <c r="G146" i="2"/>
  <c r="G145" i="2"/>
  <c r="G144" i="2"/>
  <c r="G143" i="2"/>
  <c r="J259" i="2"/>
  <c r="J257" i="2"/>
  <c r="G134" i="2"/>
  <c r="G133" i="2"/>
  <c r="G132" i="2"/>
  <c r="G131" i="2"/>
  <c r="G130" i="2"/>
  <c r="G129" i="2"/>
  <c r="G128" i="2"/>
  <c r="G127" i="2"/>
  <c r="G118" i="2"/>
  <c r="G117" i="2"/>
  <c r="G116" i="2"/>
  <c r="G115" i="2"/>
  <c r="G114" i="2"/>
  <c r="G113" i="2"/>
  <c r="G112" i="2"/>
  <c r="G111" i="2"/>
  <c r="L32" i="1"/>
  <c r="D46" i="3" l="1"/>
  <c r="G33" i="3"/>
  <c r="H131" i="1"/>
  <c r="M15" i="1" s="1"/>
  <c r="G188" i="2"/>
  <c r="G154" i="2"/>
  <c r="G172" i="2"/>
  <c r="G187" i="2"/>
  <c r="G171" i="2"/>
  <c r="G173" i="2" s="1"/>
  <c r="G174" i="2" s="1"/>
  <c r="G137" i="2"/>
  <c r="G153" i="2"/>
  <c r="G138" i="2"/>
  <c r="G122" i="2"/>
  <c r="G121" i="2"/>
  <c r="L33" i="1"/>
  <c r="L30" i="1"/>
  <c r="M30" i="1" s="1"/>
  <c r="L31" i="1" s="1"/>
  <c r="H56" i="1"/>
  <c r="M55" i="1"/>
  <c r="J56" i="1"/>
  <c r="H43" i="1"/>
  <c r="J54" i="1"/>
  <c r="H54" i="1"/>
  <c r="H71" i="1"/>
  <c r="G189" i="2" l="1"/>
  <c r="G190" i="2" s="1"/>
  <c r="G155" i="2"/>
  <c r="G156" i="2" s="1"/>
  <c r="G123" i="2"/>
  <c r="G124" i="2" s="1"/>
  <c r="G139" i="2"/>
  <c r="G140" i="2" s="1"/>
  <c r="L88" i="1" l="1"/>
  <c r="J82" i="1"/>
  <c r="J80" i="1"/>
  <c r="L77" i="1"/>
  <c r="G94" i="1"/>
  <c r="H94" i="1" s="1"/>
  <c r="J94" i="1"/>
  <c r="H127" i="1"/>
  <c r="G278" i="2"/>
  <c r="G279" i="2"/>
  <c r="H126" i="1"/>
  <c r="J126" i="1"/>
  <c r="J127" i="1"/>
  <c r="G277" i="2"/>
  <c r="G283" i="2" s="1"/>
  <c r="H70" i="1"/>
  <c r="J70" i="1"/>
  <c r="G284" i="2" l="1"/>
  <c r="G285" i="2" s="1"/>
  <c r="L62" i="1"/>
  <c r="L60" i="1"/>
  <c r="H83" i="1"/>
  <c r="J45" i="1"/>
  <c r="H36" i="1"/>
  <c r="H35" i="1"/>
  <c r="J44" i="1"/>
  <c r="H34" i="1"/>
  <c r="J64" i="1" l="1"/>
  <c r="G47" i="1" s="1"/>
  <c r="H47" i="1" l="1"/>
  <c r="G102" i="2"/>
  <c r="G101" i="2"/>
  <c r="G100" i="2"/>
  <c r="G99" i="2"/>
  <c r="G98" i="2"/>
  <c r="G97" i="2"/>
  <c r="G96" i="2"/>
  <c r="G95" i="2"/>
  <c r="G94" i="2"/>
  <c r="G93" i="2"/>
  <c r="G92" i="2"/>
  <c r="G91" i="2"/>
  <c r="J75" i="1"/>
  <c r="J76" i="1"/>
  <c r="G58" i="1" s="1"/>
  <c r="H58" i="1" s="1"/>
  <c r="J89" i="1"/>
  <c r="G69" i="1" s="1"/>
  <c r="H69" i="1" s="1"/>
  <c r="J58" i="1"/>
  <c r="G41" i="1" s="1"/>
  <c r="H41" i="1" s="1"/>
  <c r="J88" i="1"/>
  <c r="J87" i="1"/>
  <c r="J86" i="1"/>
  <c r="G68" i="1" s="1"/>
  <c r="H68" i="1" s="1"/>
  <c r="J85" i="1"/>
  <c r="G67" i="1" s="1"/>
  <c r="H67" i="1" s="1"/>
  <c r="J67" i="1"/>
  <c r="G45" i="1" s="1"/>
  <c r="H45" i="1" s="1"/>
  <c r="J68" i="1"/>
  <c r="G46" i="1" s="1"/>
  <c r="H46" i="1" s="1"/>
  <c r="G107" i="2" l="1"/>
  <c r="G105" i="2"/>
  <c r="G106" i="2"/>
  <c r="G82" i="2"/>
  <c r="G81" i="2"/>
  <c r="G80" i="2"/>
  <c r="G79" i="2"/>
  <c r="G78" i="2"/>
  <c r="G77" i="2"/>
  <c r="G76" i="2"/>
  <c r="G75" i="2"/>
  <c r="G74" i="2"/>
  <c r="G73" i="2"/>
  <c r="G64" i="2"/>
  <c r="G63" i="2"/>
  <c r="G62" i="2"/>
  <c r="G61" i="2"/>
  <c r="G60" i="2"/>
  <c r="G59" i="2"/>
  <c r="G58" i="2"/>
  <c r="G57" i="2"/>
  <c r="G56" i="2"/>
  <c r="G55" i="2"/>
  <c r="J18" i="1"/>
  <c r="G18" i="1" s="1"/>
  <c r="H18" i="1" s="1"/>
  <c r="J73" i="1"/>
  <c r="G211" i="2"/>
  <c r="G212" i="2"/>
  <c r="G48" i="2"/>
  <c r="G50" i="2"/>
  <c r="G38" i="2"/>
  <c r="G39" i="2"/>
  <c r="G271" i="2"/>
  <c r="G272" i="2"/>
  <c r="G24" i="2"/>
  <c r="G25" i="2"/>
  <c r="G22" i="2"/>
  <c r="H110" i="1"/>
  <c r="H109" i="1"/>
  <c r="G197" i="2"/>
  <c r="G194" i="2"/>
  <c r="G195" i="2"/>
  <c r="G196" i="2"/>
  <c r="G193" i="2"/>
  <c r="G243" i="2"/>
  <c r="G242" i="2"/>
  <c r="G241" i="2"/>
  <c r="G240" i="2"/>
  <c r="G230" i="2"/>
  <c r="G231" i="2"/>
  <c r="G229" i="2"/>
  <c r="G228" i="2"/>
  <c r="G227" i="2"/>
  <c r="G226" i="2"/>
  <c r="G225" i="2"/>
  <c r="G224" i="2"/>
  <c r="G223" i="2"/>
  <c r="G222" i="2"/>
  <c r="G221" i="2"/>
  <c r="G220" i="2"/>
  <c r="G219" i="2"/>
  <c r="G218" i="2"/>
  <c r="G217" i="2"/>
  <c r="G208" i="2"/>
  <c r="G207" i="2"/>
  <c r="G206" i="2"/>
  <c r="G46" i="2"/>
  <c r="G45" i="2"/>
  <c r="G35" i="2"/>
  <c r="G34" i="2"/>
  <c r="G33" i="2"/>
  <c r="G32" i="2"/>
  <c r="G31" i="2"/>
  <c r="G30" i="2"/>
  <c r="G268" i="2"/>
  <c r="G267" i="2"/>
  <c r="G266" i="2"/>
  <c r="G265" i="2"/>
  <c r="G11" i="2"/>
  <c r="G12" i="2"/>
  <c r="G13" i="2"/>
  <c r="G14" i="2"/>
  <c r="G15" i="2"/>
  <c r="G16" i="2"/>
  <c r="G17" i="2"/>
  <c r="G18" i="2"/>
  <c r="G19" i="2"/>
  <c r="G20" i="2"/>
  <c r="G21" i="2"/>
  <c r="G10" i="2"/>
  <c r="G9" i="2"/>
  <c r="G201" i="2" l="1"/>
  <c r="G68" i="2"/>
  <c r="G86" i="2"/>
  <c r="G247" i="2"/>
  <c r="G234" i="2"/>
  <c r="G246" i="2"/>
  <c r="G236" i="2"/>
  <c r="G237" i="2" s="1"/>
  <c r="G200" i="2"/>
  <c r="G67" i="2"/>
  <c r="G85" i="2"/>
  <c r="G87" i="2" s="1"/>
  <c r="G88" i="2" s="1"/>
  <c r="G235" i="2"/>
  <c r="G108" i="2"/>
  <c r="G202" i="2"/>
  <c r="G203" i="2" s="1"/>
  <c r="G248" i="2"/>
  <c r="G249" i="2" s="1"/>
  <c r="G213" i="2"/>
  <c r="G214" i="2" s="1"/>
  <c r="G51" i="2"/>
  <c r="G52" i="2" s="1"/>
  <c r="G273" i="2"/>
  <c r="G274" i="2" s="1"/>
  <c r="G40" i="2"/>
  <c r="G41" i="2" s="1"/>
  <c r="G26" i="2"/>
  <c r="G69" i="2" l="1"/>
  <c r="G70" i="2" s="1"/>
  <c r="G27" i="2"/>
  <c r="J74" i="1" l="1"/>
  <c r="G53" i="1" s="1"/>
  <c r="H53" i="1" s="1"/>
  <c r="J77" i="1"/>
  <c r="J78" i="1"/>
  <c r="H55" i="1" s="1"/>
  <c r="J62" i="1"/>
  <c r="J63" i="1"/>
  <c r="J102" i="1"/>
  <c r="J103" i="1"/>
  <c r="H82" i="1"/>
  <c r="H39" i="1"/>
  <c r="H38" i="1"/>
  <c r="H77" i="1"/>
  <c r="H78" i="1"/>
  <c r="H79" i="1"/>
  <c r="H80" i="1"/>
  <c r="H81" i="1"/>
  <c r="J99" i="1" l="1"/>
  <c r="J100" i="1"/>
  <c r="G73" i="1" s="1"/>
  <c r="H73" i="1" s="1"/>
  <c r="J101" i="1"/>
  <c r="G74" i="1" s="1"/>
  <c r="H74" i="1" s="1"/>
  <c r="K55" i="1" l="1"/>
  <c r="I55" i="1" s="1"/>
  <c r="J42" i="1" l="1"/>
  <c r="G33" i="1" s="1"/>
  <c r="H33" i="1" s="1"/>
  <c r="J40" i="1"/>
  <c r="G32" i="1" s="1"/>
  <c r="H32" i="1" s="1"/>
  <c r="J37" i="1"/>
  <c r="G31" i="1" s="1"/>
  <c r="H31" i="1" s="1"/>
  <c r="J38" i="1"/>
  <c r="J39" i="1"/>
  <c r="J41" i="1"/>
  <c r="H111" i="1" l="1"/>
  <c r="H112" i="1"/>
  <c r="J183" i="1" l="1"/>
  <c r="G114" i="1" s="1"/>
  <c r="H114" i="1" s="1"/>
  <c r="J184" i="1"/>
  <c r="G115" i="1" s="1"/>
  <c r="H115" i="1" s="1"/>
  <c r="J185" i="1"/>
  <c r="G116" i="1" s="1"/>
  <c r="H116" i="1" s="1"/>
  <c r="J186" i="1"/>
  <c r="G117" i="1" s="1"/>
  <c r="H117" i="1" s="1"/>
  <c r="J187" i="1"/>
  <c r="G118" i="1" s="1"/>
  <c r="H118" i="1" s="1"/>
  <c r="J193" i="1"/>
  <c r="G124" i="1" s="1"/>
  <c r="H124" i="1" s="1"/>
  <c r="J123" i="1" l="1"/>
  <c r="G103" i="1" s="1"/>
  <c r="H103" i="1" s="1"/>
  <c r="J124" i="1"/>
  <c r="G104" i="1" s="1"/>
  <c r="H104" i="1" s="1"/>
  <c r="J125" i="1"/>
  <c r="G105" i="1" s="1"/>
  <c r="H105" i="1" s="1"/>
  <c r="J112" i="1"/>
  <c r="J113" i="1"/>
  <c r="G93" i="1" s="1"/>
  <c r="H93" i="1" s="1"/>
  <c r="J114" i="1"/>
  <c r="J115" i="1"/>
  <c r="G95" i="1" s="1"/>
  <c r="H95" i="1" s="1"/>
  <c r="J116" i="1"/>
  <c r="G96" i="1" s="1"/>
  <c r="H96" i="1" s="1"/>
  <c r="J117" i="1"/>
  <c r="G97" i="1" s="1"/>
  <c r="H97" i="1" s="1"/>
  <c r="J118" i="1"/>
  <c r="G98" i="1" s="1"/>
  <c r="H98" i="1" s="1"/>
  <c r="J119" i="1"/>
  <c r="G99" i="1" s="1"/>
  <c r="H99" i="1" s="1"/>
  <c r="J120" i="1"/>
  <c r="G100" i="1" s="1"/>
  <c r="H100" i="1" s="1"/>
  <c r="J121" i="1"/>
  <c r="G101" i="1" s="1"/>
  <c r="H101" i="1" s="1"/>
  <c r="J122" i="1"/>
  <c r="G102" i="1" s="1"/>
  <c r="H102" i="1" s="1"/>
  <c r="J109" i="1"/>
  <c r="G90" i="1" s="1"/>
  <c r="H90" i="1" s="1"/>
  <c r="J110" i="1"/>
  <c r="G91" i="1" s="1"/>
  <c r="H91" i="1" s="1"/>
  <c r="J108" i="1"/>
  <c r="H88" i="1"/>
  <c r="J188" i="1"/>
  <c r="J189" i="1"/>
  <c r="G120" i="1" s="1"/>
  <c r="H120" i="1" s="1"/>
  <c r="J190" i="1"/>
  <c r="G121" i="1" s="1"/>
  <c r="H121" i="1" s="1"/>
  <c r="J191" i="1"/>
  <c r="G122" i="1" s="1"/>
  <c r="H122" i="1" s="1"/>
  <c r="J192" i="1"/>
  <c r="G123" i="1" s="1"/>
  <c r="H123" i="1" s="1"/>
  <c r="G89" i="1" l="1"/>
  <c r="H89" i="1" s="1"/>
  <c r="J27" i="1"/>
  <c r="G27" i="1" s="1"/>
  <c r="H129" i="1"/>
  <c r="B125" i="5" l="1"/>
  <c r="D125" i="5"/>
  <c r="E125" i="5"/>
  <c r="B126" i="5"/>
  <c r="B127" i="5"/>
  <c r="B44" i="3"/>
  <c r="G288" i="2"/>
  <c r="G292" i="2" s="1"/>
  <c r="G293" i="2" s="1"/>
  <c r="G294" i="2" s="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95" i="1"/>
  <c r="J196" i="1"/>
  <c r="J197" i="1"/>
  <c r="J198" i="1"/>
  <c r="J199" i="1"/>
  <c r="J200" i="1"/>
  <c r="H130" i="1"/>
  <c r="H128" i="1" l="1"/>
  <c r="C44" i="3" l="1"/>
  <c r="B25" i="5"/>
  <c r="D25" i="5"/>
  <c r="E25" i="5"/>
  <c r="B26" i="5"/>
  <c r="B34" i="5"/>
  <c r="D34" i="5"/>
  <c r="E34" i="5"/>
  <c r="B39" i="5"/>
  <c r="D39" i="5"/>
  <c r="E39" i="5"/>
  <c r="B56" i="5"/>
  <c r="D56" i="5"/>
  <c r="E56" i="5"/>
  <c r="B57" i="5"/>
  <c r="B81" i="5"/>
  <c r="D81" i="5"/>
  <c r="E81" i="5"/>
  <c r="B105" i="5"/>
  <c r="D105" i="5"/>
  <c r="E105" i="5"/>
  <c r="B17" i="5"/>
  <c r="D5" i="5"/>
  <c r="D6" i="5"/>
  <c r="D4" i="5"/>
  <c r="B41" i="3"/>
  <c r="B38" i="3"/>
  <c r="B29" i="3"/>
  <c r="B26" i="3"/>
  <c r="B23" i="3"/>
  <c r="B20" i="3"/>
  <c r="B17" i="3"/>
  <c r="B14" i="3"/>
  <c r="J45" i="3" l="1"/>
  <c r="K45" i="3" s="1"/>
  <c r="H113" i="1" l="1"/>
  <c r="C41" i="3" l="1"/>
  <c r="G258" i="2"/>
  <c r="G257" i="2"/>
  <c r="G256" i="2"/>
  <c r="G255" i="2"/>
  <c r="G254" i="2"/>
  <c r="G253" i="2"/>
  <c r="G252" i="2"/>
  <c r="J34" i="1"/>
  <c r="H27" i="1"/>
  <c r="H42" i="3" l="1"/>
  <c r="I42" i="3"/>
  <c r="G42" i="3"/>
  <c r="G259" i="2"/>
  <c r="G260" i="2"/>
  <c r="K42" i="3" l="1"/>
  <c r="G261" i="2"/>
  <c r="G262" i="2" s="1"/>
  <c r="O29" i="1"/>
  <c r="P29" i="1" s="1"/>
  <c r="J32" i="1" l="1"/>
  <c r="J31" i="1"/>
  <c r="J143" i="1" l="1"/>
  <c r="J144" i="1"/>
  <c r="J145" i="1"/>
  <c r="H87" i="1"/>
  <c r="J147" i="1" l="1"/>
  <c r="J152" i="1" l="1"/>
  <c r="J150" i="1" l="1"/>
  <c r="J151" i="1"/>
  <c r="J149" i="1"/>
  <c r="J69" i="1" l="1"/>
  <c r="G57" i="1" s="1"/>
  <c r="H57" i="1" s="1"/>
  <c r="H107" i="1" l="1"/>
  <c r="J132" i="1"/>
  <c r="J16" i="1" l="1"/>
  <c r="J17" i="1"/>
  <c r="H30" i="1"/>
  <c r="J35" i="1"/>
  <c r="J33" i="1"/>
  <c r="J30" i="1"/>
  <c r="J93" i="1"/>
  <c r="J97" i="1" l="1"/>
  <c r="C5" i="4" l="1"/>
  <c r="C4" i="4"/>
  <c r="C3" i="4"/>
  <c r="C5" i="2"/>
  <c r="C4" i="2"/>
  <c r="C3" i="2"/>
  <c r="J72" i="1" l="1"/>
  <c r="J105" i="1" l="1"/>
  <c r="H65" i="1"/>
  <c r="J104" i="1"/>
  <c r="J90" i="1" l="1"/>
  <c r="J91" i="1"/>
  <c r="J92" i="1"/>
  <c r="J142" i="1" l="1"/>
  <c r="J146" i="1"/>
  <c r="J148" i="1"/>
  <c r="J21" i="1" l="1"/>
  <c r="J22" i="1"/>
  <c r="G22" i="1" s="1"/>
  <c r="J23" i="1"/>
  <c r="G23" i="1" s="1"/>
  <c r="J24" i="1"/>
  <c r="G24" i="1" s="1"/>
  <c r="J25" i="1"/>
  <c r="G25" i="1" s="1"/>
  <c r="J26" i="1"/>
  <c r="G26" i="1" s="1"/>
  <c r="J29" i="1"/>
  <c r="J36" i="1"/>
  <c r="J53" i="1"/>
  <c r="J55" i="1"/>
  <c r="J59" i="1"/>
  <c r="J60" i="1"/>
  <c r="J61" i="1"/>
  <c r="J65" i="1"/>
  <c r="J66" i="1"/>
  <c r="G44" i="1" s="1"/>
  <c r="H44" i="1" s="1"/>
  <c r="J95" i="1"/>
  <c r="G63" i="1" s="1"/>
  <c r="J96" i="1"/>
  <c r="J98" i="1"/>
  <c r="J106" i="1"/>
  <c r="J107" i="1"/>
  <c r="J130" i="1"/>
  <c r="J131" i="1"/>
  <c r="J134" i="1"/>
  <c r="J135" i="1"/>
  <c r="J136" i="1"/>
  <c r="J137" i="1"/>
  <c r="J140" i="1"/>
  <c r="J141" i="1"/>
  <c r="J20" i="1"/>
  <c r="G20" i="1" s="1"/>
  <c r="G64" i="1" l="1"/>
  <c r="H64" i="1" s="1"/>
  <c r="G75" i="1"/>
  <c r="H75" i="1" s="1"/>
  <c r="H29" i="1"/>
  <c r="H20" i="1"/>
  <c r="H17" i="1"/>
  <c r="H16" i="1"/>
  <c r="C20" i="3" l="1"/>
  <c r="C14" i="3" l="1"/>
  <c r="E21" i="3"/>
  <c r="F21" i="3"/>
  <c r="G21" i="3"/>
  <c r="K21" i="3" l="1"/>
  <c r="H106" i="1"/>
  <c r="H86" i="1"/>
  <c r="K15" i="3" l="1"/>
  <c r="H66" i="1"/>
  <c r="H63" i="1"/>
  <c r="H62" i="1" l="1"/>
  <c r="H61" i="1"/>
  <c r="C35" i="3" l="1"/>
  <c r="H22" i="1"/>
  <c r="K36" i="3" l="1"/>
  <c r="H26" i="1"/>
  <c r="H25" i="1"/>
  <c r="H24" i="1"/>
  <c r="H23" i="1"/>
  <c r="H21" i="1"/>
  <c r="H60" i="1"/>
  <c r="H19" i="1" l="1"/>
  <c r="C17" i="3" s="1"/>
  <c r="C29" i="3"/>
  <c r="C23" i="3"/>
  <c r="C26" i="3"/>
  <c r="G27" i="3" l="1"/>
  <c r="G30" i="3"/>
  <c r="I30" i="3"/>
  <c r="F30" i="3"/>
  <c r="H30" i="3"/>
  <c r="I27" i="3"/>
  <c r="H27" i="3"/>
  <c r="J24" i="3"/>
  <c r="J47" i="3" s="1"/>
  <c r="I24" i="3"/>
  <c r="E18" i="3"/>
  <c r="E47" i="3" s="1"/>
  <c r="I47" i="3" l="1"/>
  <c r="K27" i="3"/>
  <c r="K24" i="3"/>
  <c r="K30" i="3"/>
  <c r="E49" i="3"/>
  <c r="K18" i="3"/>
  <c r="H84" i="1" l="1"/>
  <c r="C38" i="3" l="1"/>
  <c r="H39" i="3" l="1"/>
  <c r="H47" i="3" s="1"/>
  <c r="C46" i="3"/>
  <c r="G39" i="3"/>
  <c r="G47" i="3" s="1"/>
  <c r="F39" i="3"/>
  <c r="F47" i="3" s="1"/>
  <c r="F49" i="3" l="1"/>
  <c r="G49" i="3" s="1"/>
  <c r="H49" i="3" s="1"/>
  <c r="I49" i="3" s="1"/>
  <c r="J49" i="3" s="1"/>
  <c r="K39" i="3"/>
  <c r="I48" i="3"/>
  <c r="H48" i="3"/>
  <c r="J48" i="3"/>
  <c r="G48" i="3"/>
  <c r="E48" i="3"/>
  <c r="E50" i="3" s="1"/>
  <c r="F48" i="3"/>
  <c r="J57" i="1"/>
  <c r="G40" i="1" s="1"/>
  <c r="F50" i="3" l="1"/>
  <c r="G50" i="3" s="1"/>
  <c r="H50" i="3" s="1"/>
  <c r="I50" i="3" s="1"/>
  <c r="J50" i="3" s="1"/>
  <c r="H40" i="1"/>
  <c r="K57" i="1"/>
</calcChain>
</file>

<file path=xl/sharedStrings.xml><?xml version="1.0" encoding="utf-8"?>
<sst xmlns="http://schemas.openxmlformats.org/spreadsheetml/2006/main" count="1188" uniqueCount="526">
  <si>
    <t xml:space="preserve">PREFEITURA MUNICIPAL DE GOIANA </t>
  </si>
  <si>
    <t>SECRETARIA DE URBANISMO, OBRAS E PATRIMÔNIO ARQUITETÔNICO</t>
  </si>
  <si>
    <t>PLANILHA DE QUANTITATIVOS E ESTIMATIVA DE PREÇOS</t>
  </si>
  <si>
    <t>ITEM</t>
  </si>
  <si>
    <t>DISCRIMINAÇÃO DOS SERVIÇOS</t>
  </si>
  <si>
    <t>QUANT.</t>
  </si>
  <si>
    <t>PREÇ. UNIT. COM BDI</t>
  </si>
  <si>
    <t>Total</t>
  </si>
  <si>
    <t>SERVIÇOS PRELIMINARES</t>
  </si>
  <si>
    <t/>
  </si>
  <si>
    <t>PLACA DE OBRA EM CHAPA DE ACO GALVANIZADO</t>
  </si>
  <si>
    <t>TRANSPORTE DE ENTULHO COM CAMINHAO BASCULANTE 6 M3, RODOVIA PAVIMENTADA, DMT 0,5 A 1,0 KM</t>
  </si>
  <si>
    <t>2.0</t>
  </si>
  <si>
    <t>PINTURA</t>
  </si>
  <si>
    <t>2.1</t>
  </si>
  <si>
    <t>2.2</t>
  </si>
  <si>
    <t>2.3</t>
  </si>
  <si>
    <t>2.4</t>
  </si>
  <si>
    <t>2.5</t>
  </si>
  <si>
    <t>3.0</t>
  </si>
  <si>
    <t>ESQUADRIA</t>
  </si>
  <si>
    <t>3.1</t>
  </si>
  <si>
    <t>3.2</t>
  </si>
  <si>
    <t>4.0</t>
  </si>
  <si>
    <t>4.1</t>
  </si>
  <si>
    <t>5.0</t>
  </si>
  <si>
    <t>INSTALAÇÕES HIDRÁULICAS</t>
  </si>
  <si>
    <t>5.1</t>
  </si>
  <si>
    <t>6.0</t>
  </si>
  <si>
    <t>INSTALAÇÕES ELÉTRICAS</t>
  </si>
  <si>
    <t>6.1</t>
  </si>
  <si>
    <t>6.2</t>
  </si>
  <si>
    <t>7.0</t>
  </si>
  <si>
    <t>7.1</t>
  </si>
  <si>
    <t>SINAPI/19 74209/001</t>
  </si>
  <si>
    <t>TOTAL GERAL C/ 26,37 % BDI:</t>
  </si>
  <si>
    <t xml:space="preserve"> SINAPI/19        87878</t>
  </si>
  <si>
    <t>CHAPISCO APLICADO EM ALVENARIAS E ESTRUTURAS DE CONCRETO INTERNAS, COM COLHER DE PEDREIRO. ARGAMASSA TRAÇO 1:3 COM PREPARO MANUAL. AF_06/2014</t>
  </si>
  <si>
    <t xml:space="preserve"> SINAPI/19        87530</t>
  </si>
  <si>
    <t>MASSA ÚNICA, PARA RECEBIMENTO DE PINTURA, EM ARGAMASSA TRAÇO 1:2:8, PREPARO MANUAL, APLICADA MANUALMENTE EM FACES INTERNAS DE PAREDES, ESPESSURA DE 20MM, COM EXECUÇÃO DE TALISCAS.</t>
  </si>
  <si>
    <t>COBERTURA</t>
  </si>
  <si>
    <t>7.2</t>
  </si>
  <si>
    <t>7.3</t>
  </si>
  <si>
    <t>1.0</t>
  </si>
  <si>
    <t>1.1</t>
  </si>
  <si>
    <t>1.2</t>
  </si>
  <si>
    <t>SINAPI/19   72900</t>
  </si>
  <si>
    <t>SECRETARIA DE URBANISMO, OBRAS E PATRIMÔNIO ARQUITETÔNICO- SEURBO</t>
  </si>
  <si>
    <t>COMPOSIÇÕES</t>
  </si>
  <si>
    <t>COMPOSIÇÃO 01</t>
  </si>
  <si>
    <t>UNID</t>
  </si>
  <si>
    <t>ELETRICISTA COM ENCARGOS COMPLEMENTARES</t>
  </si>
  <si>
    <t>H</t>
  </si>
  <si>
    <t>AUXILIAR DE ELETRICISTA COM ENCARGOS COMPLEMENTARES</t>
  </si>
  <si>
    <t>SERVIÇO</t>
  </si>
  <si>
    <t>EQUIPAMENTO</t>
  </si>
  <si>
    <t>MATERIAL</t>
  </si>
  <si>
    <t>MÃO 0BRA</t>
  </si>
  <si>
    <t>TOTAL  GERAL</t>
  </si>
  <si>
    <t>TOTAL GERAL C/ BDI</t>
  </si>
  <si>
    <t>UND</t>
  </si>
  <si>
    <t>CRONOGRAMA FÍSICO-FINANCEIRO</t>
  </si>
  <si>
    <t xml:space="preserve">VALOR DA </t>
  </si>
  <si>
    <t>PERCENT</t>
  </si>
  <si>
    <t>PERÍODO:</t>
  </si>
  <si>
    <t>ETAPA(R$)</t>
  </si>
  <si>
    <t>%</t>
  </si>
  <si>
    <t>30 DIAS</t>
  </si>
  <si>
    <t>60 DIAS</t>
  </si>
  <si>
    <t>90 DIAS</t>
  </si>
  <si>
    <t>TOTAL GERAL</t>
  </si>
  <si>
    <t>VALOR MENSAL (R$)</t>
  </si>
  <si>
    <t>PERCENTUAL SIMPLES (%)</t>
  </si>
  <si>
    <t>VALOR ACUMULADO (R$)</t>
  </si>
  <si>
    <t>PERENTUAL ACUMULADO (%)</t>
  </si>
  <si>
    <t>MEMÓRIA DE CÁLCULO</t>
  </si>
  <si>
    <t>CÓDIGO</t>
  </si>
  <si>
    <t>COMPRIMENTO</t>
  </si>
  <si>
    <t>LARGURA</t>
  </si>
  <si>
    <t>ALTURA</t>
  </si>
  <si>
    <t>COMPOSIÇÃO 02</t>
  </si>
  <si>
    <t>CODIGO</t>
  </si>
  <si>
    <t>TOTAL</t>
  </si>
  <si>
    <t>3.3</t>
  </si>
  <si>
    <t>5.2</t>
  </si>
  <si>
    <t>4.2</t>
  </si>
  <si>
    <t>M2</t>
  </si>
  <si>
    <t>M3</t>
  </si>
  <si>
    <t>M</t>
  </si>
  <si>
    <t>SINAPI/19 88264</t>
  </si>
  <si>
    <t>SINAPI/19 88247</t>
  </si>
  <si>
    <t>6.5</t>
  </si>
  <si>
    <t>6.6</t>
  </si>
  <si>
    <t>6.7</t>
  </si>
  <si>
    <t>120 DIAS</t>
  </si>
  <si>
    <t>QUANT</t>
  </si>
  <si>
    <t>PREFEITURA MUNICIPAL DE GOIANA</t>
  </si>
  <si>
    <t>6.3</t>
  </si>
  <si>
    <t>2.6</t>
  </si>
  <si>
    <t xml:space="preserve"> SINAPI/19        87528 </t>
  </si>
  <si>
    <t>EMBOÇO, PARA RECEBIMENTO DE CERÂMICA, EM ARGAMASSA TRAÇO 1:2:8, PREPARO MANUAL, APLICADO MANUALMENTE EM FACES INTERNAS DE PAREDES, PARA AMBIENTE COM ÁREA MENOR QUE 5M2, ESPESSURA DE 20MM, COM EXECUÇÃO DE TALISCAS. AF_06/2014</t>
  </si>
  <si>
    <t>SINAPI/19        95241</t>
  </si>
  <si>
    <t>LASTRO DE CONCRETO, E = 5 CM, PREPARO MECÂNICO, INCLUSOS LANÇAMENTO E ADENSAMENTO. AF_07_2016</t>
  </si>
  <si>
    <t xml:space="preserve">EMLURB -        19.01.020 </t>
  </si>
  <si>
    <t>PT</t>
  </si>
  <si>
    <t>VASO SANITÁRIO SIFONADO COM CAIXA ACOPLADA LOUÇA BRANCA - FORNECIMENTO E INSTALAÇÃO. AF_12/2013</t>
  </si>
  <si>
    <t>6.10</t>
  </si>
  <si>
    <t>ADMINISTRAÇÃO LOCAL</t>
  </si>
  <si>
    <t>SINAPI/19   90777</t>
  </si>
  <si>
    <t>ENGENHEIRO CIVIL DE OBRA JUNIOR COM ENCARGOS COMPLEMENTARES</t>
  </si>
  <si>
    <t>SINAPI/19    90776</t>
  </si>
  <si>
    <t>ENCARREGADO GERAL COM ENCARGOS COMPLEMENTARES</t>
  </si>
  <si>
    <t>2.7</t>
  </si>
  <si>
    <t>8.0</t>
  </si>
  <si>
    <t>8.5</t>
  </si>
  <si>
    <t>8.6</t>
  </si>
  <si>
    <t>8.7</t>
  </si>
  <si>
    <t>9.0</t>
  </si>
  <si>
    <t>9.3</t>
  </si>
  <si>
    <t>9.4</t>
  </si>
  <si>
    <t>9.5</t>
  </si>
  <si>
    <t>9.6</t>
  </si>
  <si>
    <t>9.7</t>
  </si>
  <si>
    <t>SINAPI/19 73859/002</t>
  </si>
  <si>
    <t>CAPINA E LIMPEZA MANUAL DE TERRENO</t>
  </si>
  <si>
    <t xml:space="preserve">SINAPI/19    89168 </t>
  </si>
  <si>
    <t>(COMPOSIÇÃO REPRESENTATIVA) DO SERVIÇO DE ALVENARIA DE VEDAÇÃO DE BLOCOS VAZADOS DE CERÂMICA DE 9X19X19CM (ESPESSURA 9CM), PARA EDIFICAÇÃO HABITACIONAL UNIFAMILIAR (CASA) E EDIFICAÇÃO PÚBLICA PADRÃO. AF_11/2014</t>
  </si>
  <si>
    <t>REVESTIMENTOS E PISOS</t>
  </si>
  <si>
    <t>SINAPI/19      86888</t>
  </si>
  <si>
    <t>5.4</t>
  </si>
  <si>
    <t>SINAPI/19   97600</t>
  </si>
  <si>
    <t>REFLETOR EM ALUMÍNIO COM SUPORTE E ALÇA, LÂMPADA 125 W - FORNECIMENTO E INSTALAÇÃO. AF_11/2017</t>
  </si>
  <si>
    <t>9.8</t>
  </si>
  <si>
    <t>9.9</t>
  </si>
  <si>
    <t xml:space="preserve">PORTA DE VIDRO TEMPERADO, 0,9X2,10M, ESPESSURA 10MM, INCLUSIVE ACESSORIOS
</t>
  </si>
  <si>
    <t>5.5</t>
  </si>
  <si>
    <t>SINAPI/19  73838/001</t>
  </si>
  <si>
    <t>5.6</t>
  </si>
  <si>
    <t>REVESTIMENTO CERÂMICO PARA PAREDES INTERNAS COM PLACAS TIPO ESMALTADA  EXTRA DE DIMENSÕES 20X20 CM APLICADAS EM AMBIENTES DE ÁREA MAIOR QUE 5
 M² NA ALTURA INTEIRA DAS PAREDES. AF_06/2014</t>
  </si>
  <si>
    <t xml:space="preserve">SINAPI/19   87265 </t>
  </si>
  <si>
    <t xml:space="preserve"> REVESTIMENTO CERÂMICO PARA PAREDES INTERNAS COM PLACAS TIPO ESMALTADA  EXTRA DE DIMENSÕES 20X20 CM APLICADAS EM AMBIENTES DE ÁREA MAIOR QUE 5  M² A MEIA ALTURA DAS PAREDES. AF_06/2014
 </t>
  </si>
  <si>
    <t>SINAPI/19   87267</t>
  </si>
  <si>
    <t>SINAPI/19   87248</t>
  </si>
  <si>
    <t>COMPOSIÇÃO 03</t>
  </si>
  <si>
    <t>5.8</t>
  </si>
  <si>
    <t>ALVENARIA E FUNDAÇÕES</t>
  </si>
  <si>
    <t>3.4</t>
  </si>
  <si>
    <t>3.6</t>
  </si>
  <si>
    <t>3.7</t>
  </si>
  <si>
    <t>3.8</t>
  </si>
  <si>
    <t>PONTO DE ESGOTO PARA PIA OU LAVANDARIA,INCLUSIVE TUBULACOES E CONEXOES EM PVC RIGIDO SOLDAVEIS , ATE A COLUNA OU O SUB-COLETOR.</t>
  </si>
  <si>
    <t>SINAPI/19      95472</t>
  </si>
  <si>
    <t>VASO SANITARIO SIFONADO CONVENCIONAL PARA PCD SEM FURO FRONTAL COM LOUÇA BRANCA SEM ASSENTO, INCLUSO CONJUNTO DE LIGAÇÃO PARA BACIA SANITÁRIA AJUSTÁVEL - FORNECIMENTO E INSTALAÇÃO. AF_10/201</t>
  </si>
  <si>
    <t>SERVENTE COM ENCARGOS COMPLEMENTARES</t>
  </si>
  <si>
    <t>COMPOSIÇÃO 04</t>
  </si>
  <si>
    <t>PONTO DE ESGOTO PARA BACIA SANITARIA, IN-   CLUSIVE TUBULACOES E CONEXOES EM PVC RIGI   DO SOLDAVEIS, ATE A COLUNA OU O SUB-COLE-   TOR</t>
  </si>
  <si>
    <t>EMLURB - 19.01.010</t>
  </si>
  <si>
    <t>CJ</t>
  </si>
  <si>
    <t>3.5</t>
  </si>
  <si>
    <t>9.2</t>
  </si>
  <si>
    <t>CAIXA DE PROTECAO PARA 1 MEDIDOR TRIFASICO, EM CHAPA DE ACO 20 USG (PADRAO DA CONCESSIONARIA LOCAL)</t>
  </si>
  <si>
    <t>9.10</t>
  </si>
  <si>
    <t>9.11</t>
  </si>
  <si>
    <t>9.12</t>
  </si>
  <si>
    <t>9.13</t>
  </si>
  <si>
    <t>SINAPI/19   97592</t>
  </si>
  <si>
    <t>LUMINÁRIA TIPO PLAFON, DE SOBREPOR, COM 1 LÂMPADA LED - FORNECIMENTO E INSTALAÇÃO. AF_11/201</t>
  </si>
  <si>
    <t>PREÇO UNIT</t>
  </si>
  <si>
    <t>SINAPI/19  00000367</t>
  </si>
  <si>
    <t>AREIA GROSSA - POSTO JAZIDA/FORNECEDOR (RETIRADO NA JAZIDA, SEM TRANSPORTE)</t>
  </si>
  <si>
    <t>0,0110000</t>
  </si>
  <si>
    <t>SINAPI/19  00001379</t>
  </si>
  <si>
    <t>CIMENTO PORTLAND COMPOSTO CP II-32</t>
  </si>
  <si>
    <t>KG</t>
  </si>
  <si>
    <t>4,8600000</t>
  </si>
  <si>
    <t xml:space="preserve">SINAPI/19  00039682 </t>
  </si>
  <si>
    <t>UN</t>
  </si>
  <si>
    <t>1,0000000</t>
  </si>
  <si>
    <t>SINAPI/19  00088309</t>
  </si>
  <si>
    <t>PEDREIRO COM ENCARGOS COMPLEMENTARES</t>
  </si>
  <si>
    <t>1,3400000</t>
  </si>
  <si>
    <t>SINAPI/19  00088316</t>
  </si>
  <si>
    <t xml:space="preserve"> REVESTIMENTO CERÂMICO PARA PISO COM PLACAS TIPO ESMALTADA EXTRA DE DIMENSÕES 35X35 CM APLICADA EM AMBIENTES DE ÁREA MAIOR QUE 10 M2. AF_06/2014 </t>
  </si>
  <si>
    <t>150 DIAS</t>
  </si>
  <si>
    <t>180 DIAS</t>
  </si>
  <si>
    <t>DIAS ÚTEIS POR MÊS</t>
  </si>
  <si>
    <t>MESES</t>
  </si>
  <si>
    <t>HORAS/DIA</t>
  </si>
  <si>
    <t>10.0</t>
  </si>
  <si>
    <t>10.1</t>
  </si>
  <si>
    <t>10.2</t>
  </si>
  <si>
    <t>SERVIÇOS FINAIS</t>
  </si>
  <si>
    <t>LIMPEZA GERAL</t>
  </si>
  <si>
    <t>SEINFRA 026.1 - 
C1628</t>
  </si>
  <si>
    <t>AS BUILT</t>
  </si>
  <si>
    <t>SINAPI/19 90773</t>
  </si>
  <si>
    <t>DESENHISTA COPISTA COM ENCARGOS COMPLEMENTARES</t>
  </si>
  <si>
    <t xml:space="preserve">EMLURB -18  04.03.039 </t>
  </si>
  <si>
    <t xml:space="preserve">REMOCAO DE MATERIAL DE PRIMEIRA CATEGORIA EM CAMINHAO BASCULANTE, D.M.T. 2 KM, INCLUSIVE CARGA MANUAL E DESCARGA MECANICA. </t>
  </si>
  <si>
    <t>SERVIÇOS PRELIMINARES E INSTALÇÃO DA OBRA</t>
  </si>
  <si>
    <t>FORNECIMENTO E ASSENTAMENTO DE TAPUME EM CHAPAS</t>
  </si>
  <si>
    <t>EMLURB -18   03.03.040</t>
  </si>
  <si>
    <t>SERVICO TOPOGRAFICO DE PEQUENO PORTE ( PRECO
MINIMO ),DIARIA DE UMA EQUIPE COM TOPOGRAFO, QUATRO AUXILIARES , TEODOLITO , NIVEL OTICO ETC.</t>
  </si>
  <si>
    <t>EMLURB -18   02.01.200</t>
  </si>
  <si>
    <t>BARRACAO PARA DEPOSITO EM TABUAS DE MADEIRA, COBERTURA FIBROCIMENTO 4 MM, INCLUSO PISO ARGAMASSA TRAÇO 1:6 (CIMENTO E AREIA)</t>
  </si>
  <si>
    <t>CARPINTEIRO DE FORMAS COM ENCARGOS COMPLEMENTARES</t>
  </si>
  <si>
    <t>AREIA GROSSA - POSTO JAZIDA/FORNECEDOR (SEM FRETE)</t>
  </si>
  <si>
    <t>DOBRADICA EM ACO/FERRO, 3" X 2 Â½", E= 1,2 A 1,8 MM, SEM ANEL, CROMADO OU ZINCADO, TAMPA BOLA, COM PARAFUSOS</t>
  </si>
  <si>
    <t>TABUA MADEIRA 2A QUALIDADE 2,5 X 30,0CM (1 12") NAO APARELHADA</t>
  </si>
  <si>
    <t>TELHA DE FIBROCIMENTO ONDULADA E = 4 MM, *2,44 X 0,50* M (SEM AMIANTO)</t>
  </si>
  <si>
    <t>FECHADURA SOBREPOR FERRO PINTADO CHAVE GRANDE</t>
  </si>
  <si>
    <t>ESCAVAÇÃO MANUAL DE VALA COM PROFUNDIDADE MENOR OU IGUAL A 1,30 M. AF_ 03/2016</t>
  </si>
  <si>
    <t>PREGO DE ACO POLIDO COM CABECA 14 X 18 (1 1/2 X 14)</t>
  </si>
  <si>
    <t>RIPA DE MADEIRA APARELHADA *1,5 X 5* CM, MACARANDUBA, ANGELIM OU EQUIVALENTE DA REGIAO</t>
  </si>
  <si>
    <t>MADEIRA ROLICA SEM TRATAMENTO, EUCALIPTO OU EQUIVALENTE DA REGIAO, H = 3 M, D = 12 A 15 CM (PARA ESCORAMENTO)</t>
  </si>
  <si>
    <t>COMPOSIÇÃO 1</t>
  </si>
  <si>
    <t>BARRACAO DE OBRA PARA ALOJAMENTO/ESCRITÓRIO, PISO EM PINHO 3A, PAREDES EM COMPENSADO 10MM, COBERTURA EM FIBROCIMENTO 4MM, INCLUSO INSTALAÇÕES ELÉTRICAS E ESQUADRIAS.</t>
  </si>
  <si>
    <t>SPDA</t>
  </si>
  <si>
    <t>ASSENTAMENTO DE HASTE DE ATERRAMENTO DE 5/8"X
2.40 M COPPERWELD OU SIMILAR,COM CONECTOR PARALELO E PARAFUSOS (INCLUSIVE O FORNECIMENTO DO MATERIAL).</t>
  </si>
  <si>
    <t>EMLURB - 18 18.26.010</t>
  </si>
  <si>
    <t>TERMINAL OU CONECTOR DE PRESSAO - PARA CABO 50MM2 - FORNECIMENTO E INSTALACAO</t>
  </si>
  <si>
    <t>SINAPI/19   72263</t>
  </si>
  <si>
    <t>TERMINAL AEREO EM ACO GALVANIZADO COM BASE DE FIXACAO H = 30CM</t>
  </si>
  <si>
    <t>SINAPI/19   72315</t>
  </si>
  <si>
    <t>EMLURB - 19.01.030</t>
  </si>
  <si>
    <t>PONTO DE ESGOTO PARA LAVATORIO OU MICTORIO, INCLUSIVE TUBULACOES E CONEXOES EM PVC RIGI DO SOLDAVEIS, ATE A COLUNA OU O SUB-COLETOR</t>
  </si>
  <si>
    <t>PONTO DE ESGOTO PARA RALO SIFONADO, INCLUSIVE RALO, TUBULACOES E CONEXOES EM PVC RIGIDO SOLDAVEIS , ATE A COLUNA OU O SUBCOLETOR.</t>
  </si>
  <si>
    <t>EMLURB - 19.01.040</t>
  </si>
  <si>
    <t>EMLURB - 19.06.010</t>
  </si>
  <si>
    <t>EMLURB - 19.06.020</t>
  </si>
  <si>
    <t>CAIXA COLETORA DE INSPECAO OU DE AREIA C/ PAREDES
EM ALVENARIA , LAJE DE TAMPA E DE FUNDO
EM CONCRETO, REVESTIDA INTERNAMENTE COM ARGAMASSADE CIMENTO E AREIA 1:4,DIMENSOES INTERNAS 0,50 X 0,50 M, COM PROFUNDIDADE ATE 0,8M.</t>
  </si>
  <si>
    <t>CAIXA COLETORA DE INSPECAO OU DE AREIA C/ PAREDES
EM ALVENARIA, LAJE DE TAMPA E DE FUNDO
EM CONCRETO, REVESTIDA INTERNAMENTE COM ARGAMASSA DE CIMENTO E AREIA 1:4, DIMENSOES INTERNAS 0,60 X 0,60 M, COM PROFUNDIDADE ATE 1,0M.</t>
  </si>
  <si>
    <t>ESGOTO</t>
  </si>
  <si>
    <t>ÁGUA FRIA/ ACESSÓRIOS</t>
  </si>
  <si>
    <t>EMLURB - 19.07.100</t>
  </si>
  <si>
    <t>EMLURB - 19.07.060</t>
  </si>
  <si>
    <t>EMLURB - 19.07.180</t>
  </si>
  <si>
    <t>EMLURB - 19.07.090</t>
  </si>
  <si>
    <t>EMLURB - 19.07.340</t>
  </si>
  <si>
    <t>EMLURB - 19.07.350</t>
  </si>
  <si>
    <t>EMLURB - 19.07.430</t>
  </si>
  <si>
    <t>PONTO DE AGUA, INCLUSIVE TUBULACOES E CONE
XOES DE PVC RIGIDO SOLDAVEL E ABERTURA DE RASGOS EM ALVENARIA , ATE O REGISTRO GERAL DO AMBIENTE.</t>
  </si>
  <si>
    <t>FORNECIMENTO E ASSENTAMENTO DE CUBA SIMPLES
DE ACO INOXIDAVEL, MEKAL OU SIMILAR, NAS DIMENSOES 0.40 X 0,34 X 0,15 M, INCLUSIVE ACESSORIOS CORRESPONDENTES.</t>
  </si>
  <si>
    <t>FORNECIMENTO E ASSENTAMENTO DE MICTORIO SIFO
NADO PARA PAREDE DE LOUCA BRANCA CELITE LINHA INSTITUCIONAIS OU SIMILAR, INCLUSIVE ACESSORIOS CORRESPONDENTES.</t>
  </si>
  <si>
    <t>FORNECIMENTO DE CHUVEIRO COM ARTICULACAO, DIA METRO DE 1/2 POL. COM ACABAMENTO CROMADO,REF.C 1991-FABRIMAR OU SIMILAR, INCLUSIVE FIXACAO</t>
  </si>
  <si>
    <t>EMLURB - 19.07.260</t>
  </si>
  <si>
    <t>EMLURB - 19.07.070</t>
  </si>
  <si>
    <t>FORNECIMENTO DE TORNEIRA DE PRESSAO PARA PIA DIAMETRO 1/2", REF. 1159 C-39, DECA OU SIMILAR, INCLUSIVE FIXACAO.</t>
  </si>
  <si>
    <t>FORNECIMENTO E ASSENTAMENTO DE SABONETEIRA DE LOUCA BRANCA,CELITE OU SIMILAR, NAS DIMENSOES 7.5 X 15 CM.</t>
  </si>
  <si>
    <t>FORNECIMENTO E ASSENTAMENTO DE PAPELEIRA DE LOUCA BRANCA, CELITE OU SIMILAR,NAS DIMENSOES 15 X 15 CM.</t>
  </si>
  <si>
    <t>FORNECIMENTO DE REGISTRO DE PRESSAO COM CANOPLA, ACABAMENTO CROMADO, REF.1416, FABRIMAR O SIMILAR DE 1/2 POL., INCLUSIVE FIXACAO.</t>
  </si>
  <si>
    <t>FORNECIMENTO DE REGISTRO DE PRESSAO COM CANOPLA
ACABAMENTO CROMADO, REF.1416, DECA 50 OU SIMILAR, LINHA PRATA, DIAMETRO DE 3/4 POL.,INCLUSIVE FIXACAO.</t>
  </si>
  <si>
    <t>FORNECIMENTO DE REGISTRO DE GAVETA COM CANOPLA,
ACABAMENTO CROMADO, REF.1509-C39,DECA OU SIMILAR, LINHA PRATA, DIAMETRO DE 1.1/2 POL., INCLUSIVE FIXACAO.</t>
  </si>
  <si>
    <t>SINAPI/19   88503</t>
  </si>
  <si>
    <t>CAIXA D´ÁGUA EM POLIETILENO, 1000 LITROS, COM ACESSÓRIOS</t>
  </si>
  <si>
    <t>PARA-RAIOS TIPO FRANKLIN - CABO E SUPORTE ISOLADOR</t>
  </si>
  <si>
    <t>CABO DE COBRE NU 35 MM2 MEIO-DURO</t>
  </si>
  <si>
    <t>SUPORTE ISOLADOR SIMPLES ROSCA SOBERBA C/</t>
  </si>
  <si>
    <t>COMPOSIÇÃO 2</t>
  </si>
  <si>
    <t>SINAPI/19   98111</t>
  </si>
  <si>
    <t>CAIXA DE INSPEÇÃO PARA ATERRAMENTO, CIRCULAR, EM POLIETILENO, DIÂMETRO INTERNO = 0,3 M. AF_05/2018</t>
  </si>
  <si>
    <t>EMLURB - 18 18.22.070</t>
  </si>
  <si>
    <t>PONTO DE TOMADA UNIVERSAL (2P+1 T),PIAL OU SI
MILAR P/ 2000 W INCLUSIVE TUBULACAO PVC RIGIDO,
FIACAO, CAIXA 4 X 2 POL.TIGREFLEX OU SIMILAR, PLACA E DEMAIS ACESSORIOS ATE O QUADRO DE DISTRIBUICAO.</t>
  </si>
  <si>
    <t>EMLURB - 18 18.16.010</t>
  </si>
  <si>
    <t>TOMADA DE EMBUTIR (2P+1T) C/PLACA P/ CAIXA DE 4 X 2 POL.,20A, 250V, PIAL (LINHA SILENTOQUE) OU SIMILAR, INCLUSIVE INSTALACAO.</t>
  </si>
  <si>
    <t>PONTO DE LUZ EM TETO OU PAREDE, INCLUINDO CAIXA 4 X 4 POL. TIGREFLEX OU SIMILAR, TUBULACAO PVC RIGIDO E FIACAO, ATE O QUADRO DE DISTRIBUICAO.</t>
  </si>
  <si>
    <t>EMLURB - 18 18.22.010</t>
  </si>
  <si>
    <t>PONTO DE INTERRUPTOR DE UMA SECCAO, PIAL OU
SIMILAR,INCLUSIVE TUBULACAO PVC RIGIDO, FIACAO, CX. 4 X 2 POL. TIGREFLEX OU SIMILAR PLACA E DEMAIS ACESSORIOS, ATE O PONTO DE LUZ.</t>
  </si>
  <si>
    <t>EMLURB - 18 18.22.020</t>
  </si>
  <si>
    <t>INTERRUPTOR DE EMBUTIR DE UMA SECCAO PARA CAIXA DE 4 X 2 POL., COM PLACA, 10A, 250V, PIAL (LINHA SILENTOQUE) OU SIMILAR, INCLUSIVE INSTALACAO.</t>
  </si>
  <si>
    <t>EMLURB - 18 18.18.010</t>
  </si>
  <si>
    <t>LOCACAO CONVENCIONAL DE OBRA, ATRAVÉS GABARITO TABUAS CORRIDAS P ONTALETADAS A CADA 1,50M, SEM REAPROVEITAMENTO</t>
  </si>
  <si>
    <t>ARAME RECOZIDO 18 BWG, 1,25 MM (0,01 KG/M)</t>
  </si>
  <si>
    <t>PECA DE MADEIRA NATIVA / REGIONAL 7,5 X 7,5CM (3X3) NAO APARELHADA (P/FORMA)</t>
  </si>
  <si>
    <t>PREGO POLIDO COM CABECA 18 X 27</t>
  </si>
  <si>
    <t>AJUDANTE DE CARPINTEIRO COM ENCARGOS COMPLEMENTARES</t>
  </si>
  <si>
    <t>SINAPI/19        93358</t>
  </si>
  <si>
    <t>COMPOSIÇÃO 4</t>
  </si>
  <si>
    <t>REATERRO E COMPACTACAO MECANICO DE VALA COM COMPACTADOR MANUAL TIPO SO QUETE VIBRATORIO</t>
  </si>
  <si>
    <t>CHP</t>
  </si>
  <si>
    <t>COMPACTADOR DE SOLOS DE PERCUSSÃO (SOQUETE) COM MOTOR A GASOLINA 4 TEMPOS, POTÊNCIA 4 CV - CHP DIURNO. AF_08/2015</t>
  </si>
  <si>
    <t>COMPOSIÇÃO 5</t>
  </si>
  <si>
    <t>EMLURB 16.03.060</t>
  </si>
  <si>
    <t xml:space="preserve">PINTURA A BASE DE EMULSAO ACRILICA,CORALAR OU   SIMILAR, EM PAREDES INTERNAS, DUAS DEMAOS, IN   CLUSIVE LIQUIDO SELADOR  UMA DEMAO, E DUAS DE   MAOS DE MASSA ACRILICA. </t>
  </si>
  <si>
    <t>EMLURB 16.03.080</t>
  </si>
  <si>
    <t xml:space="preserve">PINTURA A BASE DE EMULSAO ACRILICA, CORALPLUS   OU SIMILAR, EM PAREDES EXTERNAS, DUAS DEMAOS,   INCLUSIVE APLICACAO DE SELADOR ACRILICO,  UMA   DEMAO E DUAS DEMAOS DE MASSA ACRILICA. </t>
  </si>
  <si>
    <t>INSTALAÇÕES TELEFONICAS E DE LÓGICA</t>
  </si>
  <si>
    <t>TOMADA DE EMBUTIR PARA TELEFONE QUATRO POLOS,
PADRAO TELEBRAS, COM PLACA, PARA CAIXA 4 X 2 POL., PIAL (LINHA SILENTOQUE) OU SIMILAR, INCLUSIVE INSTALACAO.</t>
  </si>
  <si>
    <t>EMLURB 18.16.020</t>
  </si>
  <si>
    <t>QUADRO DE DISTRIBUICAO PARA TELEFONE N.4, 60X60X12CM EM CHAPA METALICA, DE EMBUTIR, SEM ACESSORIOS, PADRAO TELEBRAS, FORNECIMENTO E INSTALACAO</t>
  </si>
  <si>
    <t>SINAPI/19   83369</t>
  </si>
  <si>
    <t>EMLURB 08.02.050</t>
  </si>
  <si>
    <t>COBERTURA COM TELHAS DE CHAPA ONDULADA DE ALUMINIO DE O,5 MM DE ESPESSURA.</t>
  </si>
  <si>
    <t>ESTRUTURA PARA COBERTURA TIPO FINK, EM ALUMINIO ANODIZADO, VAO DE 20M, ESPACAMENTO DAS TESOURAS 5M ATE 6,5M</t>
  </si>
  <si>
    <t>AJUDANTE ESPECIALIZADO COM ENCARGOS COMPLEMENTARES</t>
  </si>
  <si>
    <t>MONTADOR COM ENCARGOS COMPLEMENTARES</t>
  </si>
  <si>
    <t>ALUMINIO ANODIZADO</t>
  </si>
  <si>
    <t>RUFO EM CONCRETO ARMADO, LARGURA 40CM, ESPESSURA 3CM</t>
  </si>
  <si>
    <t>ARMADOR COM ENCARGOS COMPLEMENTARES</t>
  </si>
  <si>
    <t>ACO CA-60, 5,0 MM, VERGALHAO</t>
  </si>
  <si>
    <t>DESMOLDANTE PROTETOR PARA FORMAS DE MADEIRA, BASE OLEOSA EMULSIONADA EM AGUA</t>
  </si>
  <si>
    <t>L</t>
  </si>
  <si>
    <t>PECA DE MADEIRA ROLICA SEM TRATAMENTO (EUCALIPTO OU REGIONAL EQUIVALENTE) D = 12 A 15 CM, P/ESCORAMENTOS, H 6 M</t>
  </si>
  <si>
    <t>PEDRA BRITADA N. 2 (19 A 38 MM) POSTO PEDREIRA/FORNECEDOR, SEM FRETE</t>
  </si>
  <si>
    <t>PREGO DE ACO POLIDO COM CABECA 16 X 27 (2 1/2 X 12)</t>
  </si>
  <si>
    <t>SARRAFO DE MADEIRA NAO APARELHADA *2,5 X 10 CM, MACARANDUBA, ANGELIM OU EQUIVALENTE DA REGIAO</t>
  </si>
  <si>
    <t>COMPOSIÇÃO 6</t>
  </si>
  <si>
    <t>COMPOSIÇÃO 7</t>
  </si>
  <si>
    <t>EMLURB 08.03.010</t>
  </si>
  <si>
    <t>CALHA DE CHAPA GALVANIZADA N. 26.</t>
  </si>
  <si>
    <t>IMPERMEABILIZACAO DE SUPERFICIE COM MANTA ASFALTICA PROTEGIDA FILM E ALUMINIO GOFRADO (DE ESPESSURA 0,8MM), INCLUSA APLICACAO EMUL SAO ASFALTICA, E=3MM.</t>
  </si>
  <si>
    <t>IMPERMEABILIZADOR COM ENCARGOS COMPLEMENTARES</t>
  </si>
  <si>
    <t>MANTA IMPERMEABILIZANTE A BASE DE ASFALTO MODIFICADO C/ ELASTOMEROS DESBS TIPO TORODIM ALUMINIO E = 3MM VIAPOL OU EQUIV</t>
  </si>
  <si>
    <t>EMULSAO ASFALTICA CATIONICA RR-1C PARA USO EM PAVIMENTACAO ASFALTICA (COLETADO CAIXA NA ANP ACRESCIDO DE ICMS)</t>
  </si>
  <si>
    <t>COMPOSIÇÃO 8</t>
  </si>
  <si>
    <t>FORRO EM RÉGUAS DE PVC, FRISADO, PARA AMBIENTES RESIDENCIAIS, INCLUSIVE ESTRUTURA DE FIXAÇÃO. AF_05/2017_P</t>
  </si>
  <si>
    <t>SINAPI/19         96111</t>
  </si>
  <si>
    <t>CAIXILHO FIXO, DE ALUMINIO, PARA VIDRO</t>
  </si>
  <si>
    <t xml:space="preserve"> SINAPI/19        85010</t>
  </si>
  <si>
    <t>COMPOSIÇÃO 9</t>
  </si>
  <si>
    <t>COMPOSIÇÃO 10</t>
  </si>
  <si>
    <t>BARRACAO PARA DEPOSITO EM TABUA DE MADEIRA, COBERTURA FIBROCIMENTO 4MM, INCLUSO PISO ARGAMASSA TRAÇO 1:6 (CIMENTO E AREIA)</t>
  </si>
  <si>
    <t>SINAPI/19 88262</t>
  </si>
  <si>
    <t>SINAPI/19 88270</t>
  </si>
  <si>
    <t>COMPOSIÇÃO 08</t>
  </si>
  <si>
    <t>SINAPI/19 93358</t>
  </si>
  <si>
    <t>SINAPI/19 88309</t>
  </si>
  <si>
    <t>SINAPI/19 88316</t>
  </si>
  <si>
    <t>SINAPI/19 367</t>
  </si>
  <si>
    <t>SINAPI/19 1379</t>
  </si>
  <si>
    <t>SINAPI/19 2418</t>
  </si>
  <si>
    <t>SINAPI/19 2742</t>
  </si>
  <si>
    <t>SINAPI/19 20205</t>
  </si>
  <si>
    <t>SINAPI/19 5063</t>
  </si>
  <si>
    <t>SINAPI/19 6189</t>
  </si>
  <si>
    <t>SINAPI/19 7213</t>
  </si>
  <si>
    <t>SINAPI/19 11467</t>
  </si>
  <si>
    <t>SINAPI/19 863</t>
  </si>
  <si>
    <t>SINAPI/19 3396</t>
  </si>
  <si>
    <t>SINAPI/19 337</t>
  </si>
  <si>
    <t>SINAPI/19 4491</t>
  </si>
  <si>
    <t>SINAPI/19 5061</t>
  </si>
  <si>
    <t>SINAPI/19 88239</t>
  </si>
  <si>
    <t>SINAPI/19 91533</t>
  </si>
  <si>
    <t>SINAPI/19 88243</t>
  </si>
  <si>
    <t>SINAPI/19 583</t>
  </si>
  <si>
    <t>SINAPI/19 88245</t>
  </si>
  <si>
    <t>SINAPI/19 39</t>
  </si>
  <si>
    <t>SINAPI/19 2692</t>
  </si>
  <si>
    <t>SINAPI/19 2751</t>
  </si>
  <si>
    <t>SINAPI/19 4460</t>
  </si>
  <si>
    <t>SINAPI/19 4718</t>
  </si>
  <si>
    <t>SINAPI/19 5064</t>
  </si>
  <si>
    <t>SINAPI/19 41905</t>
  </si>
  <si>
    <t>SINAPI/19 11621</t>
  </si>
  <si>
    <t>SINAPI/19 88627</t>
  </si>
  <si>
    <t>TOMADA PARA TELEFONE DE 4 POLOS PADRAO TELEBRAS - FORNECIMENTO E INSTALACAO</t>
  </si>
  <si>
    <t>SINAPI/19 72337</t>
  </si>
  <si>
    <t>ELETRODUTO DE PVC RIGIDO ROSCAVEL DE 3/4 ", SEM LUVA</t>
  </si>
  <si>
    <t>SINAPI/19 2674</t>
  </si>
  <si>
    <t>CAIXA DE PASSAGEM, EM PVC, DE 4" X 2", PARA ELETRODUTO FLEXIVEL CORRUGADO</t>
  </si>
  <si>
    <t>SINAPI/19 1872</t>
  </si>
  <si>
    <t>COMPOSIÇÃO 11</t>
  </si>
  <si>
    <t xml:space="preserve">PONTO DE TELEFONE, COM ELETRODUTO DE PVC RÍGIDO EMBUTIDO ∅3/4''
</t>
  </si>
  <si>
    <t>EMLURB - 18 18.02.040</t>
  </si>
  <si>
    <t xml:space="preserve">POSTE DE CONCRETO SECCAO DUPLO T, 200/12, COM ENGASTAMENTO DIRETO NO SOLO DE 1,80 M, INCLUSIVE COLOCACAO. </t>
  </si>
  <si>
    <t>SINAPI/19     83400</t>
  </si>
  <si>
    <t>BRACO P/ ILUMINACAO DE RUAS EM TUBO ACO GALV 1" COMP = 1,20M E INCLINACAO 25GRAUS EM RELACAO AO PLANO VERTICAL P/ FIXACAO EM POSTE OU PAREDE - FORNECIMENTO E INSTALACAO</t>
  </si>
  <si>
    <t>9.14</t>
  </si>
  <si>
    <t>9.15</t>
  </si>
  <si>
    <t>9.16</t>
  </si>
  <si>
    <t>9.17</t>
  </si>
  <si>
    <t>SINAPI/19 88278</t>
  </si>
  <si>
    <t>VIGIA NOTURNO COM ENCARGOS COMPLEMENTARES</t>
  </si>
  <si>
    <t>1.3</t>
  </si>
  <si>
    <t>SINAPI/19    88326</t>
  </si>
  <si>
    <t>COMPOSIÇÃO 12</t>
  </si>
  <si>
    <t>VIDRO TEMPERADO INCOLOR E = 10 MM, SEM COLOCACAO</t>
  </si>
  <si>
    <t>MOLA HIDRAULICA DE PISO P/ VIDRO TEMPERADO 10MM</t>
  </si>
  <si>
    <t>PUXADOR CONCHA DE EMBUTIR, EM LATAO CROMADO, PARA PORTA / JANELA DE CORRER, LISO, SEM FURO PARA CHAVE, COM FUROS PARA FIXAR PARAFUSOS, *30 X 90* MM (LARGURA X ALTURA)</t>
  </si>
  <si>
    <t>VIDRACEIRO COM ENCARGOS COMPLEMENTARES</t>
  </si>
  <si>
    <t>ARGAMASSA TRAÇO 1:0,5:4,5 (EM VOLUME DE CIMENTO, CAL E AREIA MÉDIA ÚMIDA), PREPARO MECÂNICO COM BETONEIRA 400 L. AF_08/2019</t>
  </si>
  <si>
    <t>FECHADURA BICO DE PAPAGAIO, MAQUINA *45* MM, CROMADA, COM CHAVE TIPO GORGES BIPARTIDA, PARA PORTA DE CORRER INTERNA - COMPLETA</t>
  </si>
  <si>
    <t>ROLDANA CONCOVA DUPLA, EM CHAPA DE ACO, ROLAMENTO INTERNO BLINDADO DE ACO REVESTIDO EM NYLON, PARA PORTA DE CORRER</t>
  </si>
  <si>
    <t>UM</t>
  </si>
  <si>
    <t>TRILHO EM ALUMINIO "U", COM ABAULADO PARA ROLDANA DE PORTA DE CORRER, *40 X 40* MM</t>
  </si>
  <si>
    <t>PORTA DE CORRER, VIDRO TEMPERADO, 1,3X2,10M, ESPESSURA 10MM, INCLUSIVE ACESSORIOS</t>
  </si>
  <si>
    <t>SINAPI/19 88626</t>
  </si>
  <si>
    <t>SINAPI/19 88325</t>
  </si>
  <si>
    <t>SINAPI/19 11523</t>
  </si>
  <si>
    <t>SINAPI/19 10502</t>
  </si>
  <si>
    <t>SINAPI/19 11482</t>
  </si>
  <si>
    <t>SINAPI/19 38179</t>
  </si>
  <si>
    <t>SINAPI/19 11581</t>
  </si>
  <si>
    <t>SINAPI/19 11499</t>
  </si>
  <si>
    <t>PORTA DE CORRER, VIDRO TEMPERADO, 1,75X2,10M, ESPESSURA 10MM, INCLUSIVE ACESSORIOS</t>
  </si>
  <si>
    <t>COMPOSIÇÃO 13</t>
  </si>
  <si>
    <t>PASSEIO EM BLOCO DE CIMENTO INTERTRAVADO TIPO
PAVER OU SIM. FCK MINIMO 30 MPA COM PIGMENTO
NATURAL, DIM.(0,20 X 0,10 X 0,08)M, ASSENTAD0 SOBRE COLCHAO DE AREIA COM 6CM DE ESPESSURA E REJUNTADO COM AREIA FINA COM USO DE PLACA VIBRATORIA</t>
  </si>
  <si>
    <t>EMLURB 17.01.180</t>
  </si>
  <si>
    <t>FORNECIMENTO E PLANTIO DE GRAMA ESMERALDA (EM TAPETE).</t>
  </si>
  <si>
    <t>EMLURB 17.03.045</t>
  </si>
  <si>
    <t>6.11</t>
  </si>
  <si>
    <t>6.12</t>
  </si>
  <si>
    <t>DEMARCACAO E PINTURA A BASE DE TINTA ACRILICA
CORALPISO, NOVACOR OU SIMILAR, COM TRINCHA DE
FAIXA COM 5CM DE LARGURA PARA QUADRAS DE ESPO
RTES, ESTACIONAMENTOS, ETC(02 DEMAOS),INCLUSIVE PREPARO DA SUPERFICIE QUE DEVE ESTAR LIMPA SECA E ISENTA DE GORDURA, GRAXA OU MOFO.</t>
  </si>
  <si>
    <t>EMLURB 16.08.101</t>
  </si>
  <si>
    <t>EMLURB 16.08.010</t>
  </si>
  <si>
    <t>PINTURA A BASE DE TINTA ACRILICA CORALPISO,NO
VACOR OU SIMILAR PARA PISOS DE QUADRAS DE ESPORTES,
ESTACIONAMENTOS, PASSEIOS, ETC(02 DEMAOS),
INCLUSIVE PREPARO DA SUPERFICIE QUE DEVE ESTAR LIMPA, SECA E ISENTA DE GORDURA, GRAXA OU MOFO.</t>
  </si>
  <si>
    <t>4.3</t>
  </si>
  <si>
    <t>4.4</t>
  </si>
  <si>
    <t>EMLURB 20.09.040</t>
  </si>
  <si>
    <t>FORNEC.E ASSENT.DE MEIO-FIO DE PEDRA GRAN. RE
JUNTADO C/ ARG.DE CIM. E AREIA 1 2 E CONST.DE
LINHA D AGUA DE PARALEL. ASSENTADOS SOBRE MIS
TURA DE CIM.E AREIA 1 6 C/6 CM DE ESP.E REJUNTADOS C/ ARG.DE CIM.E AREIA 1 2 ,INCLUSIVE BASE DE CONCRETO 1 4 8 C/ 10 CM DE ESPESSURA.</t>
  </si>
  <si>
    <t>FORNECIMENTO E ASSENTAMENTO DE GRADIL E/OU
PORTAO COM FERRAGENS, MODELO AV 31/2000-OP 02 INCLUSIVE APARELHAMENTO E PINTURA COM ESMALTE SINTETICO DUAS DEMAOS.</t>
  </si>
  <si>
    <t>EMLURB -18 17.07.020</t>
  </si>
  <si>
    <t>DIVISORIA EM MARMORITE ESPESSURA 35MM, CHUMBAMENTO NO PISO E PAREDE COM ARGAMASSA DE CIMENTO E AREIA, POLIMENTO MANUAL, EXCLUSIVE FERRAGENS</t>
  </si>
  <si>
    <t xml:space="preserve"> SINAPI/19        73774/001</t>
  </si>
  <si>
    <t>5.3</t>
  </si>
  <si>
    <t>5.7</t>
  </si>
  <si>
    <t>5.9</t>
  </si>
  <si>
    <t>5.10</t>
  </si>
  <si>
    <t>COMPOSIÇÃO 14</t>
  </si>
  <si>
    <t>PORTA DE GIRO 02 FOLHAS COM TRATAMENTO ACÚSTICO - DIMENSÕES 2,4X2,10</t>
  </si>
  <si>
    <t>BATENTE/ PORTAL/ ADUELA/ MARCO MACICO, E= *3* CM, L= *13* CM, *60 CM A 120 * CM X *210* CM, EM PINUS/ TAUARI/ VIROLA OU EQUIVALENTE DA REGIAO (NAO INCLUI ALIZARES)</t>
  </si>
  <si>
    <t>SINAPI/19 184</t>
  </si>
  <si>
    <t>JG</t>
  </si>
  <si>
    <t>DOBRADICA EM ACO/FERRO, 3" X 2 1/2", E= 1,2 A 1,8 MM, SEM ANEL, CROMADO OU ZINCADO, TAMPA CHATA, COM PARAFUSOS</t>
  </si>
  <si>
    <t>SINAPI/19 2433</t>
  </si>
  <si>
    <t>PORTA DE MADEIRA, FOLHA MEDIA (NBR 15930) DE 60 X 210 CM, E = 35 MM, NUCLEO SARRAFEADO, CAPA LISA EM HDF, ACABAMENTO EM PRIMER PARA PINTURA</t>
  </si>
  <si>
    <t>SINAPI/19 10553</t>
  </si>
  <si>
    <t>PARAFUSO ROSCA SOBERBA ZINCADO CABECA CHATA FENDA SIMPLES 5,5 X 65 MM (2.1/2 ")</t>
  </si>
  <si>
    <t>SINAPI/19 11058</t>
  </si>
  <si>
    <t>PREGO DE ACO POLIDO COM CABECA 15 X 15 (1 1/4 X 13)</t>
  </si>
  <si>
    <t>CARPINTEIRO DE ESQUADRIA COM ENCARGOS COMPLEMENTARES</t>
  </si>
  <si>
    <t>GUARNICAO/ ALIZAR/ VISTA MACICA, E= *1* CM, L= *4,5* CM, EM CEDRINHO/ ANGELIM COMERCIAL/ EUCALIPTO/ CURUPIXA/ PEROBA/ CUMARU OU EQUIVALENTE DA REGIAO</t>
  </si>
  <si>
    <t>PILAR DE MADEIRA NAO APARELHADA *10 X 10* CM, MACARANDUBA, ANGELIM OU EQUIVALENTE DA REGIAO</t>
  </si>
  <si>
    <t>ARGAMASSA TRAÇO 1:0,5:4,5 (EM VOLUME DE CIMENTO, CAL E AREIA MÉDIA ÚMIDA) PARA ASSENTAMENTO DE ALVENARIA, PREPARO MANUAL. AF_08/2019</t>
  </si>
  <si>
    <t>ISOLAMENTO TERMOACÚSTICO COM LÃ MINERAL NA SUBCOBERTURA, INCLUSO TRANSPORTE VERTICAL. AF_07/2019</t>
  </si>
  <si>
    <t>SINAPI/19 20017</t>
  </si>
  <si>
    <t>SINAPI/19 20247</t>
  </si>
  <si>
    <t>SINAPI/19 35274</t>
  </si>
  <si>
    <t>SINAPI/19 88261</t>
  </si>
  <si>
    <t>SINAPI/19 94225</t>
  </si>
  <si>
    <t>5.11</t>
  </si>
  <si>
    <t>COMPOSIÇÃO 15</t>
  </si>
  <si>
    <t>COMPOSIÇÃO 16</t>
  </si>
  <si>
    <t>COMPOSIÇÃO 17</t>
  </si>
  <si>
    <t>EMLURB 06.03.103</t>
  </si>
  <si>
    <t>EMLURB 06.03.123</t>
  </si>
  <si>
    <t>EMLURB 06.03.133</t>
  </si>
  <si>
    <t>CONCRETO ARMADO PRONTO, FCK 25 MPA CONDICAO A
(NBR 12655), LANCADO EM FUNDACOES E ADENSADO,
INCLUSIVE FORMA, ESCORAMENTO E FERRAGEM.</t>
  </si>
  <si>
    <t>CONCRETO ARMADO PRONTO, FCK 25 MPA,CONDICAO A
(NBR 12655), LANCADO EM VIGAS E ADENSADO, INCLUSIVE
FORMA, ESCORAMENTO E FERRAGEM.</t>
  </si>
  <si>
    <t>CONCRETO ARMADO PRONTO, FCK 25 MPA,CONDICAO A
(NBR 12655),LANCADO EM PILARES E ADENSADO,INCLUSIVE
FORMA, ESCORAMENTO E FERRAGEM.</t>
  </si>
  <si>
    <t>SINAPI/19         74141/002</t>
  </si>
  <si>
    <t>LAJE PRE-MOLD BETA 12 P/3,5KN/M2 VAO 4,1M INCL VIGOTAS TIJOLOS ARMADURA NEGATIVA CAPEAMENTO 3CM CONCRETO 15MPA ESCORAMENTO MATERIAIS E MAO DE OBRA.</t>
  </si>
  <si>
    <t>SINAPI/19        84191</t>
  </si>
  <si>
    <t>PISO EM GRANILITE, MARMORITE OU GRANITINA ESPESSURA 8 MM, INCLUSO JUNTAS DE DILATACAO PLASTICAS</t>
  </si>
  <si>
    <t>9.1</t>
  </si>
  <si>
    <t>QUADROS E ALIMENTAÇÃO</t>
  </si>
  <si>
    <t>SINAPI/19   74131/007</t>
  </si>
  <si>
    <t>QUADRO DE DISTRIBUICAO DE ENERGIA DE EMBUTIR, EM CHAPA METALICA, PARA 40 DISJUNTORES TERMOMAGNETICOS MONOPOLARES, COM BARRAMENTO TRIFASICO E NEUTRO, FORNECIMENTO E INSTALACAO</t>
  </si>
  <si>
    <t>COMPOSIÇÃO 18</t>
  </si>
  <si>
    <t>QUADRO GERAL DE BAIXA TENSÃO</t>
  </si>
  <si>
    <t>QUADRIO GERAL QDG-1, EM POLICARBONATO COM PROTEÇÃO UV, COM BARRAMENTO PARA 350A, SEM DISJUNTORES</t>
  </si>
  <si>
    <t>ORSE/19 13297</t>
  </si>
  <si>
    <t>EMLURB - 19.07.030</t>
  </si>
  <si>
    <t>FORNECIMENTO E ASSENTAMENTO DE LAVATORIO SIM
PLES, GRANDE, SEM COLUNA, DE LOUCA BRANCA, CELITE,LINHA SAVEIRO OU SIMILAR, INCLUSIVE ACESSORIOS CORRESPONDENTES.</t>
  </si>
  <si>
    <t>EMLURB - 19.07.010</t>
  </si>
  <si>
    <t>6.8</t>
  </si>
  <si>
    <t>EMLURB -        17.01.142</t>
  </si>
  <si>
    <t xml:space="preserve">PASSEIO EM LAJOTA DE CONCRETO ANTIDERRAPANTE  30X30CM, TATIL ALERTA E DIRECIONAL, NATURAL,  APLICADO SOBRE LASTRO DE CONCRETO JA PRONTO. </t>
  </si>
  <si>
    <t>JANELA DE ALUMÍNIO MAXIMAR, FIXAÇÃO COM PARAFUSO SOBRE CONTRAMARCO (E XCLUSIVE CONTRAMARCO), COM VIDROS, PADRONIZADA. AF_07/2016</t>
  </si>
  <si>
    <t>KIT DE PORTA DE MADEIRA PARA PINTURA, SEMI-OCA (LEVE OU MÉDIA), PADRÃO MÉDIO, 80X210CM, ESPESSURA DE 3,5CM, ITENS INCLUSOS: DOBRADIÇAS, MONTAGEM E INSTALAÇÃO DO BATENTE, FECHADURA COM EXECUÇÃO DO FURO - FORNECIMENTO E INSTALAÇÃO. AF_08/2015</t>
  </si>
  <si>
    <t>SINAPI/19   90843</t>
  </si>
  <si>
    <t xml:space="preserve"> SINAPI/19       94582</t>
  </si>
  <si>
    <t>JANELA DE ALUMÍNIO DE CORRER, 2 FOLHAS, FIXAÇÃO COM ARGAMASSA, COM VIDROS, PADRONIZADA. AF_07/2016</t>
  </si>
  <si>
    <t>JANELA DE ALUMÍNIO DE CORRER, 4 FOLHAS, FIXAÇÃO COM ARGAMASSA, COM VIDROS, PADRONIZADA. AF_07/2016</t>
  </si>
  <si>
    <t>SINAPI/19   94570</t>
  </si>
  <si>
    <t>SINAPI/19   94585</t>
  </si>
  <si>
    <t>PORTA DE GIRO DUAS FOLHAS, VIDRO TEMPERADO, 2,25X2,10M, ESPESSURA 10MM, INCLUSIVE ACESSORIOS</t>
  </si>
  <si>
    <t>PORTA DE GIRO DUAS FOLHAS, VIDRO TEMPERADO, 1,95X2,10M, ESPESSURA 10MM, INCLUSIVE ACESSORIOS</t>
  </si>
  <si>
    <t>PORTA DE GIRO DUAS FOLHAS, VIDRO TEMPERADO, 3,10X2,10M, ESPESSURA 10MM, INCLUSIVE ACESSORIOS</t>
  </si>
  <si>
    <t>COMPOSIÇÃO 3</t>
  </si>
  <si>
    <t>COMPOSIÇÃO 05</t>
  </si>
  <si>
    <t>COMPOSIÇÃO 06</t>
  </si>
  <si>
    <t>COMPOSIÇÃO 07</t>
  </si>
  <si>
    <t>COMPOSIÇÃO 09</t>
  </si>
  <si>
    <t>PORTA DE CORRER, VIDRO TEMPERADO, 1,95X2,10M, ESPESSURA 10MM, INCLUSIVE ACESSORIOS</t>
  </si>
  <si>
    <t>PORTA DE GIRO DUAS FOLHAS COM DOIS QUADROS FIXOS LATERAIS E BANDEIRAS FIXAS, VIDRO TEMPERADO, 3,10X2,10M, ESPESSURA 10MM, INCLUSIVE ACESSORIOS</t>
  </si>
  <si>
    <t>5.12</t>
  </si>
  <si>
    <t>5.13</t>
  </si>
  <si>
    <t>5.14</t>
  </si>
  <si>
    <t>5.15</t>
  </si>
  <si>
    <t>5.16</t>
  </si>
  <si>
    <t>COMPOSIÇÃO 19</t>
  </si>
  <si>
    <t>OBJETO: CONSTRUÇÃO DA UPINHA DE PONTA DE PEDRA</t>
  </si>
  <si>
    <t>LOCAL: PONTA DE PEDRA, GOIANA/PE</t>
  </si>
  <si>
    <t>DATA: NOVEMBRO 2019</t>
  </si>
  <si>
    <t xml:space="preserve">TABELA DE REFERÊNCIA: EMLURB JULHO 2018/SINAPI DESONERADA SETEMBRO/2019. </t>
  </si>
  <si>
    <t>REF: EMLURB JULHO 2018/SINAPI DESONERADA SETEMBRO/2019.</t>
  </si>
  <si>
    <t>8.1</t>
  </si>
  <si>
    <t>8.2</t>
  </si>
  <si>
    <t>8.3</t>
  </si>
  <si>
    <t>8.4</t>
  </si>
  <si>
    <t>9.18</t>
  </si>
  <si>
    <t>9.19</t>
  </si>
  <si>
    <t>9.20</t>
  </si>
  <si>
    <t>9.21</t>
  </si>
  <si>
    <t>10.3</t>
  </si>
  <si>
    <t>10.4</t>
  </si>
  <si>
    <t>10.5</t>
  </si>
  <si>
    <t>10.6</t>
  </si>
  <si>
    <t>10.7</t>
  </si>
  <si>
    <t>10.8</t>
  </si>
  <si>
    <t>10.9</t>
  </si>
  <si>
    <t>10.10</t>
  </si>
  <si>
    <t>10.11</t>
  </si>
  <si>
    <t>10.12</t>
  </si>
  <si>
    <t>10.13</t>
  </si>
  <si>
    <t>10.14</t>
  </si>
  <si>
    <t>10.15</t>
  </si>
  <si>
    <t>10.16</t>
  </si>
  <si>
    <t>10.17</t>
  </si>
  <si>
    <t>11.0</t>
  </si>
  <si>
    <t>11.1</t>
  </si>
  <si>
    <t>11.2</t>
  </si>
  <si>
    <t>6.4</t>
  </si>
  <si>
    <t>6.9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</si>
</sst>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dd/mm/yy"/>
    <numFmt numFmtId="165" formatCode="&quot;R$&quot;\ #,##0.00"/>
    <numFmt numFmtId="166" formatCode="&quot;R$ &quot;#,##0.00"/>
    <numFmt numFmtId="167" formatCode="#,##0.000"/>
    <numFmt numFmtId="168" formatCode="0.0%"/>
  </numFmts>
  <fonts count="40"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10"/>
      <name val="Arial"/>
      <family val="2"/>
    </font>
    <font>
      <sz val="10"/>
      <color rgb="FF000000"/>
      <name val="Arial"/>
      <family val="2"/>
    </font>
    <font>
      <sz val="10"/>
      <name val="Arial"/>
      <family val="2"/>
    </font>
    <font>
      <sz val="10"/>
      <color indexed="8"/>
      <name val="Arial"/>
      <family val="2"/>
    </font>
    <font>
      <sz val="10"/>
      <color theme="1"/>
      <name val="Arial"/>
      <family val="2"/>
    </font>
    <font>
      <b/>
      <sz val="10"/>
      <color indexed="8"/>
      <name val="Arial"/>
      <family val="2"/>
    </font>
    <font>
      <b/>
      <sz val="10"/>
      <color theme="1"/>
      <name val="Arial"/>
      <family val="2"/>
    </font>
    <font>
      <b/>
      <sz val="12"/>
      <color theme="1"/>
      <name val="Calibri"/>
      <family val="2"/>
      <scheme val="minor"/>
    </font>
    <font>
      <b/>
      <sz val="10"/>
      <color rgb="FF000000"/>
      <name val="Arial"/>
      <family val="2"/>
    </font>
    <font>
      <b/>
      <sz val="10"/>
      <color theme="1"/>
      <name val="Calibri"/>
      <family val="2"/>
      <scheme val="minor"/>
    </font>
    <font>
      <sz val="10"/>
      <color theme="1"/>
      <name val="Calibri"/>
      <family val="2"/>
      <scheme val="minor"/>
    </font>
    <font>
      <sz val="12"/>
      <color theme="1"/>
      <name val="Calibri"/>
      <family val="2"/>
      <scheme val="minor"/>
    </font>
    <font>
      <b/>
      <sz val="12"/>
      <color theme="1"/>
      <name val="Arial"/>
      <family val="2"/>
    </font>
    <font>
      <b/>
      <sz val="11"/>
      <color rgb="FF000000"/>
      <name val="Arial"/>
      <family val="2"/>
    </font>
    <font>
      <b/>
      <sz val="11"/>
      <name val="Arial"/>
      <family val="2"/>
    </font>
    <font>
      <sz val="11"/>
      <color rgb="FF000000"/>
      <name val="Arial"/>
      <family val="2"/>
    </font>
    <font>
      <sz val="11"/>
      <color theme="1"/>
      <name val="Arial"/>
      <family val="2"/>
    </font>
    <font>
      <b/>
      <sz val="11"/>
      <color theme="1"/>
      <name val="Arial"/>
      <family val="2"/>
    </font>
    <font>
      <b/>
      <sz val="11"/>
      <color indexed="8"/>
      <name val="Arial"/>
      <family val="2"/>
    </font>
    <font>
      <b/>
      <sz val="12"/>
      <color rgb="FF000000"/>
      <name val="Calibri"/>
      <family val="2"/>
      <scheme val="minor"/>
    </font>
    <font>
      <b/>
      <sz val="14"/>
      <name val="Arial"/>
      <family val="2"/>
    </font>
    <font>
      <b/>
      <sz val="9"/>
      <name val="Arial"/>
      <family val="2"/>
    </font>
    <font>
      <sz val="9"/>
      <name val="Arial"/>
      <family val="2"/>
    </font>
    <font>
      <sz val="9"/>
      <color theme="1"/>
      <name val="Arial"/>
      <family val="2"/>
    </font>
    <font>
      <b/>
      <sz val="8"/>
      <name val="Arial"/>
      <family val="2"/>
    </font>
    <font>
      <b/>
      <sz val="11"/>
      <color theme="1"/>
      <name val="Calibri"/>
      <family val="2"/>
      <scheme val="minor"/>
    </font>
    <font>
      <sz val="9"/>
      <color theme="0"/>
      <name val="Arial"/>
      <family val="2"/>
    </font>
    <font>
      <b/>
      <sz val="24"/>
      <color theme="1"/>
      <name val="Arial"/>
      <family val="2"/>
    </font>
    <font>
      <b/>
      <sz val="24"/>
      <name val="Arial"/>
      <family val="2"/>
    </font>
    <font>
      <sz val="11"/>
      <name val="Arial"/>
      <family val="2"/>
    </font>
    <font>
      <sz val="11"/>
      <name val="Calibri"/>
      <family val="2"/>
      <scheme val="minor"/>
    </font>
    <font>
      <sz val="11"/>
      <color rgb="FF000000"/>
      <name val="Calibri"/>
      <family val="2"/>
    </font>
    <font>
      <sz val="8"/>
      <color indexed="8"/>
      <name val="Courier"/>
      <family val="3"/>
    </font>
    <font>
      <sz val="9"/>
      <color rgb="FF00B050"/>
      <name val="Calibri"/>
      <family val="2"/>
      <scheme val="minor"/>
    </font>
    <font>
      <sz val="9"/>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77111117893"/>
        <bgColor indexed="26"/>
      </patternFill>
    </fill>
    <fill>
      <patternFill patternType="solid">
        <fgColor theme="0"/>
        <bgColor indexed="26"/>
      </patternFill>
    </fill>
    <fill>
      <patternFill patternType="solid">
        <fgColor theme="0"/>
        <bgColor indexed="31"/>
      </patternFill>
    </fill>
    <fill>
      <patternFill patternType="solid">
        <fgColor theme="0" tint="-0.34998626667073579"/>
        <bgColor indexed="64"/>
      </patternFill>
    </fill>
    <fill>
      <patternFill patternType="solid">
        <fgColor indexed="9"/>
        <bgColor indexed="64"/>
      </patternFill>
    </fill>
    <fill>
      <patternFill patternType="solid">
        <fgColor theme="0" tint="-0.34998626667073579"/>
        <bgColor indexed="31"/>
      </patternFill>
    </fill>
    <fill>
      <patternFill patternType="solid">
        <fgColor theme="0" tint="-0.34998626667073579"/>
        <bgColor indexed="26"/>
      </patternFill>
    </fill>
    <fill>
      <patternFill patternType="solid">
        <fgColor theme="0" tint="-0.249977111117893"/>
        <bgColor indexed="31"/>
      </patternFill>
    </fill>
    <fill>
      <patternFill patternType="solid">
        <fgColor indexed="9"/>
        <bgColor indexed="8"/>
      </patternFill>
    </fill>
    <fill>
      <patternFill patternType="solid">
        <fgColor rgb="FF92D050"/>
        <bgColor indexed="64"/>
      </patternFill>
    </fill>
    <fill>
      <patternFill patternType="solid">
        <fgColor rgb="FF92D050"/>
        <bgColor indexed="31"/>
      </patternFill>
    </fill>
    <fill>
      <patternFill patternType="solid">
        <fgColor rgb="FFFF000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10">
    <xf numFmtId="0" fontId="0" fillId="0" borderId="0"/>
    <xf numFmtId="43" fontId="1" fillId="0" borderId="0" applyFont="0" applyFill="0" applyBorder="0" applyAlignment="0" applyProtection="0"/>
    <xf numFmtId="0" fontId="7"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9" fontId="1" fillId="0" borderId="0" applyFont="0" applyFill="0" applyBorder="0" applyAlignment="0" applyProtection="0"/>
    <xf numFmtId="0" fontId="7" fillId="0" borderId="0"/>
    <xf numFmtId="43" fontId="1" fillId="0" borderId="0" applyFont="0" applyFill="0" applyBorder="0" applyAlignment="0" applyProtection="0"/>
    <xf numFmtId="0" fontId="36" fillId="0" borderId="0"/>
  </cellStyleXfs>
  <cellXfs count="437">
    <xf numFmtId="0" fontId="0" fillId="0" borderId="0" xfId="0"/>
    <xf numFmtId="43" fontId="6" fillId="3" borderId="10" xfId="1"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3" fontId="6" fillId="0" borderId="10" xfId="1" applyNumberFormat="1" applyFont="1" applyFill="1" applyBorder="1" applyAlignment="1">
      <alignment horizontal="center" vertical="center" wrapText="1"/>
    </xf>
    <xf numFmtId="0" fontId="3" fillId="2" borderId="0" xfId="0" applyFont="1" applyFill="1" applyAlignment="1">
      <alignment horizontal="center" vertical="center"/>
    </xf>
    <xf numFmtId="4" fontId="7" fillId="3" borderId="10" xfId="0" applyNumberFormat="1" applyFont="1" applyFill="1" applyBorder="1" applyAlignment="1">
      <alignment horizontal="center" vertical="center"/>
    </xf>
    <xf numFmtId="0" fontId="9" fillId="0" borderId="10" xfId="0" applyFont="1" applyBorder="1" applyAlignment="1">
      <alignment horizontal="center" vertical="center"/>
    </xf>
    <xf numFmtId="164" fontId="8" fillId="6"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xf>
    <xf numFmtId="164" fontId="8" fillId="7" borderId="10" xfId="0" applyNumberFormat="1" applyFont="1" applyFill="1" applyBorder="1" applyAlignment="1">
      <alignment horizontal="center" vertical="center" wrapText="1"/>
    </xf>
    <xf numFmtId="0" fontId="2" fillId="0" borderId="0" xfId="0" applyFont="1" applyAlignment="1">
      <alignment horizontal="center" vertical="center"/>
    </xf>
    <xf numFmtId="4" fontId="2" fillId="0" borderId="0" xfId="0" applyNumberFormat="1" applyFont="1" applyAlignment="1">
      <alignment horizontal="center" vertical="center"/>
    </xf>
    <xf numFmtId="4" fontId="2" fillId="0" borderId="19" xfId="0" applyNumberFormat="1" applyFont="1" applyBorder="1" applyAlignment="1">
      <alignment horizontal="center" vertical="center"/>
    </xf>
    <xf numFmtId="0" fontId="6" fillId="3" borderId="10" xfId="0" applyFont="1" applyFill="1" applyBorder="1" applyAlignment="1">
      <alignment horizontal="center" vertical="center" wrapText="1"/>
    </xf>
    <xf numFmtId="4" fontId="9" fillId="3" borderId="10" xfId="0" applyNumberFormat="1" applyFont="1" applyFill="1" applyBorder="1" applyAlignment="1">
      <alignment horizontal="center" vertical="center"/>
    </xf>
    <xf numFmtId="43" fontId="6" fillId="2" borderId="10" xfId="1" applyNumberFormat="1" applyFont="1" applyFill="1" applyBorder="1" applyAlignment="1">
      <alignment horizontal="center" vertical="center" wrapText="1"/>
    </xf>
    <xf numFmtId="0" fontId="9" fillId="2" borderId="10" xfId="4"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xf>
    <xf numFmtId="4" fontId="7" fillId="0" borderId="10" xfId="0" applyNumberFormat="1" applyFont="1" applyBorder="1" applyAlignment="1">
      <alignment horizontal="center" vertical="center"/>
    </xf>
    <xf numFmtId="4" fontId="6" fillId="3" borderId="10" xfId="1" applyNumberFormat="1" applyFont="1" applyFill="1" applyBorder="1" applyAlignment="1">
      <alignment horizontal="center" vertical="center" wrapText="1"/>
    </xf>
    <xf numFmtId="4" fontId="6" fillId="2" borderId="10" xfId="1" applyNumberFormat="1" applyFont="1" applyFill="1" applyBorder="1" applyAlignment="1">
      <alignment horizontal="center" vertical="center" wrapText="1"/>
    </xf>
    <xf numFmtId="0" fontId="0" fillId="2" borderId="0" xfId="0" applyFill="1"/>
    <xf numFmtId="0" fontId="0" fillId="2" borderId="27" xfId="0" applyFill="1" applyBorder="1"/>
    <xf numFmtId="0" fontId="14" fillId="2" borderId="0" xfId="0" applyFont="1" applyFill="1" applyBorder="1" applyAlignment="1">
      <alignment vertical="center"/>
    </xf>
    <xf numFmtId="0" fontId="0" fillId="2" borderId="29" xfId="0" applyFill="1" applyBorder="1"/>
    <xf numFmtId="0" fontId="15" fillId="2" borderId="0" xfId="0" applyFont="1" applyFill="1" applyBorder="1" applyAlignment="1">
      <alignment horizontal="center" vertical="center"/>
    </xf>
    <xf numFmtId="0" fontId="15" fillId="2" borderId="0" xfId="0" applyFont="1" applyFill="1" applyBorder="1" applyAlignment="1"/>
    <xf numFmtId="0" fontId="0" fillId="2" borderId="31" xfId="0" applyFill="1" applyBorder="1"/>
    <xf numFmtId="0" fontId="15" fillId="2" borderId="0" xfId="0" applyFont="1" applyFill="1" applyBorder="1" applyAlignment="1">
      <alignment vertical="top"/>
    </xf>
    <xf numFmtId="0" fontId="0" fillId="2" borderId="0" xfId="0" applyFill="1" applyBorder="1"/>
    <xf numFmtId="0" fontId="18" fillId="2" borderId="10" xfId="7" applyFont="1" applyFill="1" applyBorder="1" applyAlignment="1">
      <alignment horizontal="center" vertical="center" wrapText="1"/>
    </xf>
    <xf numFmtId="4" fontId="18" fillId="2" borderId="10" xfId="7" applyNumberFormat="1" applyFont="1" applyFill="1" applyBorder="1" applyAlignment="1">
      <alignment horizontal="center" vertical="center"/>
    </xf>
    <xf numFmtId="4" fontId="20" fillId="2" borderId="10" xfId="7" applyNumberFormat="1" applyFont="1" applyFill="1" applyBorder="1" applyAlignment="1">
      <alignment horizontal="center" vertical="center"/>
    </xf>
    <xf numFmtId="0" fontId="20" fillId="2" borderId="0" xfId="7" applyFont="1" applyFill="1" applyBorder="1" applyAlignment="1">
      <alignment horizontal="center" vertical="center" wrapText="1"/>
    </xf>
    <xf numFmtId="4" fontId="18" fillId="0" borderId="10" xfId="7" applyNumberFormat="1" applyFont="1" applyFill="1" applyBorder="1" applyAlignment="1">
      <alignment horizontal="center" vertical="center"/>
    </xf>
    <xf numFmtId="164" fontId="23" fillId="7" borderId="10" xfId="0" applyNumberFormat="1" applyFont="1" applyFill="1" applyBorder="1" applyAlignment="1">
      <alignment horizontal="center" vertical="center" wrapText="1"/>
    </xf>
    <xf numFmtId="0" fontId="19" fillId="2" borderId="10" xfId="0" applyFont="1" applyFill="1" applyBorder="1" applyAlignment="1">
      <alignment horizontal="center" vertical="center"/>
    </xf>
    <xf numFmtId="0" fontId="15" fillId="2" borderId="0" xfId="0" applyFont="1" applyFill="1" applyBorder="1" applyAlignment="1">
      <alignment horizontal="center" vertical="center" wrapText="1"/>
    </xf>
    <xf numFmtId="4" fontId="14" fillId="0" borderId="10" xfId="0" applyNumberFormat="1" applyFont="1" applyFill="1" applyBorder="1" applyAlignment="1">
      <alignment horizontal="center" vertical="center"/>
    </xf>
    <xf numFmtId="4" fontId="24" fillId="0" borderId="10" xfId="7" applyNumberFormat="1" applyFont="1" applyFill="1" applyBorder="1" applyAlignment="1">
      <alignment horizontal="center" vertical="center"/>
    </xf>
    <xf numFmtId="0" fontId="26" fillId="0" borderId="10" xfId="4" applyFont="1" applyBorder="1" applyAlignment="1">
      <alignment horizontal="center" vertical="top" wrapText="1"/>
    </xf>
    <xf numFmtId="165" fontId="0" fillId="2" borderId="10" xfId="0" applyNumberFormat="1" applyFont="1" applyFill="1" applyBorder="1" applyAlignment="1">
      <alignment horizontal="center"/>
    </xf>
    <xf numFmtId="165" fontId="0" fillId="0" borderId="0" xfId="0" applyNumberFormat="1"/>
    <xf numFmtId="0" fontId="26" fillId="0" borderId="10" xfId="4" applyFont="1" applyFill="1" applyBorder="1" applyAlignment="1">
      <alignment horizontal="center"/>
    </xf>
    <xf numFmtId="0" fontId="26" fillId="0" borderId="10" xfId="4" applyFont="1" applyFill="1" applyBorder="1" applyAlignment="1">
      <alignment horizontal="center" wrapText="1"/>
    </xf>
    <xf numFmtId="0" fontId="26" fillId="0" borderId="10" xfId="4" applyFont="1" applyFill="1" applyBorder="1" applyAlignment="1">
      <alignment horizontal="justify" wrapText="1"/>
    </xf>
    <xf numFmtId="10" fontId="27" fillId="0" borderId="10" xfId="6" applyNumberFormat="1" applyFont="1" applyBorder="1" applyAlignment="1">
      <alignment horizontal="center"/>
    </xf>
    <xf numFmtId="10" fontId="27" fillId="0" borderId="10" xfId="6" applyNumberFormat="1" applyFont="1" applyFill="1" applyBorder="1" applyAlignment="1">
      <alignment horizontal="center"/>
    </xf>
    <xf numFmtId="0" fontId="26" fillId="10" borderId="10" xfId="4" applyFont="1" applyFill="1" applyBorder="1" applyAlignment="1">
      <alignment horizontal="center" vertical="center"/>
    </xf>
    <xf numFmtId="0" fontId="27" fillId="3" borderId="10" xfId="4" applyFont="1" applyFill="1" applyBorder="1" applyAlignment="1">
      <alignment horizontal="center"/>
    </xf>
    <xf numFmtId="166" fontId="0" fillId="0" borderId="0" xfId="0" applyNumberFormat="1"/>
    <xf numFmtId="0" fontId="26" fillId="10" borderId="10" xfId="4" applyFont="1" applyFill="1" applyBorder="1" applyAlignment="1">
      <alignment horizontal="center"/>
    </xf>
    <xf numFmtId="0" fontId="26" fillId="10" borderId="10" xfId="4" applyFont="1" applyFill="1" applyBorder="1" applyAlignment="1">
      <alignment horizontal="left" vertical="top" wrapText="1"/>
    </xf>
    <xf numFmtId="166" fontId="26" fillId="0" borderId="10" xfId="4" applyNumberFormat="1" applyFont="1" applyBorder="1" applyAlignment="1">
      <alignment horizontal="center"/>
    </xf>
    <xf numFmtId="165" fontId="0" fillId="0" borderId="10" xfId="0" applyNumberFormat="1" applyBorder="1"/>
    <xf numFmtId="0" fontId="27" fillId="2" borderId="10" xfId="4" applyFont="1" applyFill="1" applyBorder="1" applyAlignment="1">
      <alignment horizontal="center"/>
    </xf>
    <xf numFmtId="166" fontId="27" fillId="0" borderId="10" xfId="6" applyNumberFormat="1" applyFont="1" applyBorder="1" applyAlignment="1">
      <alignment horizontal="center"/>
    </xf>
    <xf numFmtId="0" fontId="27" fillId="0" borderId="10" xfId="4" applyFont="1" applyBorder="1"/>
    <xf numFmtId="2" fontId="26" fillId="0" borderId="10" xfId="4" applyNumberFormat="1" applyFont="1" applyBorder="1" applyAlignment="1">
      <alignment horizontal="center"/>
    </xf>
    <xf numFmtId="0" fontId="26" fillId="0" borderId="11" xfId="4" applyFont="1" applyBorder="1" applyAlignment="1">
      <alignment horizontal="right" wrapText="1"/>
    </xf>
    <xf numFmtId="165" fontId="5" fillId="2" borderId="10" xfId="0" applyNumberFormat="1" applyFont="1" applyFill="1" applyBorder="1"/>
    <xf numFmtId="2" fontId="27" fillId="0" borderId="33" xfId="4" applyNumberFormat="1" applyFont="1" applyBorder="1" applyAlignment="1">
      <alignment horizontal="center" vertical="center"/>
    </xf>
    <xf numFmtId="4" fontId="26" fillId="0" borderId="36" xfId="4" applyNumberFormat="1" applyFont="1" applyBorder="1" applyAlignment="1">
      <alignment horizontal="center" wrapText="1"/>
    </xf>
    <xf numFmtId="4" fontId="28" fillId="2" borderId="27" xfId="0" applyNumberFormat="1" applyFont="1" applyFill="1" applyBorder="1" applyAlignment="1"/>
    <xf numFmtId="4" fontId="28" fillId="2" borderId="28" xfId="0" applyNumberFormat="1" applyFont="1" applyFill="1" applyBorder="1" applyAlignment="1"/>
    <xf numFmtId="4" fontId="21" fillId="2" borderId="0" xfId="0" applyNumberFormat="1" applyFont="1" applyFill="1" applyBorder="1"/>
    <xf numFmtId="4" fontId="28" fillId="2" borderId="29" xfId="0" applyNumberFormat="1" applyFont="1" applyFill="1" applyBorder="1" applyAlignment="1"/>
    <xf numFmtId="4" fontId="28" fillId="2" borderId="0" xfId="0" applyNumberFormat="1" applyFont="1" applyFill="1" applyBorder="1" applyAlignment="1"/>
    <xf numFmtId="0" fontId="0" fillId="2" borderId="29" xfId="0" applyFill="1" applyBorder="1" applyAlignment="1"/>
    <xf numFmtId="0" fontId="0" fillId="2" borderId="0" xfId="0" applyFill="1" applyBorder="1" applyAlignment="1"/>
    <xf numFmtId="0" fontId="0" fillId="2" borderId="32" xfId="0" applyFill="1" applyBorder="1"/>
    <xf numFmtId="0" fontId="0" fillId="2" borderId="33" xfId="0" applyFill="1" applyBorder="1"/>
    <xf numFmtId="0" fontId="0" fillId="2" borderId="30" xfId="0" applyFill="1" applyBorder="1"/>
    <xf numFmtId="0" fontId="29" fillId="0" borderId="9" xfId="0" applyFont="1" applyBorder="1" applyAlignment="1">
      <alignment horizontal="center" vertical="center"/>
    </xf>
    <xf numFmtId="0" fontId="29" fillId="0" borderId="10" xfId="0" applyFont="1" applyBorder="1" applyAlignment="1">
      <alignment horizontal="center" vertical="center"/>
    </xf>
    <xf numFmtId="165" fontId="29" fillId="0" borderId="12" xfId="0" applyNumberFormat="1" applyFont="1" applyBorder="1" applyAlignment="1">
      <alignment horizontal="center" vertical="center"/>
    </xf>
    <xf numFmtId="165" fontId="5" fillId="11" borderId="12" xfId="0" applyNumberFormat="1" applyFont="1" applyFill="1" applyBorder="1" applyAlignment="1">
      <alignment horizontal="center" vertical="center"/>
    </xf>
    <xf numFmtId="164" fontId="8" fillId="12" borderId="10" xfId="0" applyNumberFormat="1" applyFont="1" applyFill="1" applyBorder="1" applyAlignment="1">
      <alignment horizontal="center" vertical="center" wrapText="1"/>
    </xf>
    <xf numFmtId="0" fontId="11" fillId="9" borderId="10" xfId="0" applyFont="1" applyFill="1" applyBorder="1" applyAlignment="1">
      <alignment horizontal="center" vertical="center" wrapText="1"/>
    </xf>
    <xf numFmtId="165" fontId="0" fillId="3" borderId="10" xfId="0" applyNumberFormat="1" applyFill="1" applyBorder="1"/>
    <xf numFmtId="165" fontId="0" fillId="2" borderId="10" xfId="0" applyNumberFormat="1" applyFill="1" applyBorder="1"/>
    <xf numFmtId="0" fontId="11" fillId="2" borderId="10" xfId="0" applyFont="1" applyFill="1" applyBorder="1" applyAlignment="1">
      <alignment horizontal="left" vertical="center" wrapText="1"/>
    </xf>
    <xf numFmtId="0" fontId="5" fillId="10" borderId="10" xfId="4" applyFont="1" applyFill="1" applyBorder="1" applyAlignment="1">
      <alignment vertical="top" wrapText="1"/>
    </xf>
    <xf numFmtId="0" fontId="7" fillId="0" borderId="10" xfId="0" applyFont="1" applyBorder="1" applyAlignment="1">
      <alignment horizontal="center" vertical="center"/>
    </xf>
    <xf numFmtId="4" fontId="7" fillId="0" borderId="12" xfId="0" applyNumberFormat="1" applyFont="1" applyBorder="1" applyAlignment="1">
      <alignment horizontal="center" vertical="center"/>
    </xf>
    <xf numFmtId="4" fontId="0" fillId="0" borderId="0" xfId="0" applyNumberFormat="1"/>
    <xf numFmtId="0" fontId="11" fillId="3" borderId="10" xfId="0" applyFont="1" applyFill="1" applyBorder="1" applyAlignment="1">
      <alignment horizontal="center" vertical="center" wrapText="1"/>
    </xf>
    <xf numFmtId="4" fontId="7" fillId="9" borderId="10" xfId="0" applyNumberFormat="1" applyFont="1" applyFill="1" applyBorder="1" applyAlignment="1">
      <alignment horizontal="center" vertical="center"/>
    </xf>
    <xf numFmtId="4" fontId="2" fillId="0" borderId="0" xfId="0" applyNumberFormat="1" applyFont="1" applyBorder="1" applyAlignment="1">
      <alignment horizontal="center" vertical="center"/>
    </xf>
    <xf numFmtId="4" fontId="5" fillId="3" borderId="12" xfId="0" applyNumberFormat="1" applyFont="1" applyFill="1" applyBorder="1" applyAlignment="1">
      <alignment horizontal="center" vertical="center"/>
    </xf>
    <xf numFmtId="0" fontId="4" fillId="0" borderId="0" xfId="0" applyFont="1" applyAlignment="1">
      <alignment horizontal="center" vertical="center"/>
    </xf>
    <xf numFmtId="0" fontId="4" fillId="2" borderId="0" xfId="0" applyFont="1" applyFill="1" applyBorder="1" applyAlignment="1">
      <alignment horizontal="center" vertical="center"/>
    </xf>
    <xf numFmtId="4"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xf>
    <xf numFmtId="0" fontId="3" fillId="5" borderId="0" xfId="0" applyFont="1" applyFill="1" applyAlignment="1">
      <alignment horizontal="center" vertical="center"/>
    </xf>
    <xf numFmtId="0" fontId="3"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7" xfId="0" applyFont="1" applyFill="1" applyBorder="1" applyAlignment="1">
      <alignment horizontal="center" vertical="center"/>
    </xf>
    <xf numFmtId="164" fontId="4" fillId="2" borderId="0" xfId="0" applyNumberFormat="1" applyFont="1" applyFill="1" applyBorder="1" applyAlignment="1">
      <alignment horizontal="center" vertical="center"/>
    </xf>
    <xf numFmtId="0" fontId="7" fillId="0" borderId="9" xfId="0" applyFont="1" applyBorder="1" applyAlignment="1">
      <alignment horizontal="center" vertical="center"/>
    </xf>
    <xf numFmtId="4" fontId="7" fillId="0" borderId="11" xfId="0" applyNumberFormat="1" applyFont="1" applyBorder="1" applyAlignment="1">
      <alignment horizontal="center" vertical="center"/>
    </xf>
    <xf numFmtId="0" fontId="5" fillId="0" borderId="14" xfId="0" applyFont="1" applyBorder="1" applyAlignment="1">
      <alignment horizontal="center" vertical="center"/>
    </xf>
    <xf numFmtId="0" fontId="11" fillId="0" borderId="14" xfId="0" applyFont="1" applyBorder="1" applyAlignment="1">
      <alignment horizontal="center" vertical="center"/>
    </xf>
    <xf numFmtId="4" fontId="5" fillId="0" borderId="14" xfId="0" applyNumberFormat="1" applyFont="1" applyBorder="1" applyAlignment="1">
      <alignment horizontal="center" vertical="center"/>
    </xf>
    <xf numFmtId="4" fontId="5" fillId="0" borderId="14" xfId="0" applyNumberFormat="1" applyFont="1" applyBorder="1" applyAlignment="1">
      <alignment horizontal="center" vertical="center" wrapText="1"/>
    </xf>
    <xf numFmtId="4" fontId="5" fillId="0" borderId="15" xfId="0" applyNumberFormat="1" applyFont="1" applyBorder="1" applyAlignment="1">
      <alignment horizontal="center" vertical="center"/>
    </xf>
    <xf numFmtId="2" fontId="5" fillId="8" borderId="0" xfId="0" applyNumberFormat="1" applyFont="1" applyFill="1" applyBorder="1" applyAlignment="1">
      <alignment horizontal="center" vertical="center"/>
    </xf>
    <xf numFmtId="165" fontId="5" fillId="8" borderId="0" xfId="0" applyNumberFormat="1" applyFont="1" applyFill="1" applyBorder="1" applyAlignment="1">
      <alignment horizontal="center" vertical="center"/>
    </xf>
    <xf numFmtId="0" fontId="2" fillId="4" borderId="16" xfId="0" applyFont="1" applyFill="1" applyBorder="1" applyAlignment="1">
      <alignment horizontal="center" vertical="center"/>
    </xf>
    <xf numFmtId="0" fontId="2" fillId="2" borderId="0" xfId="0" applyFont="1" applyFill="1" applyAlignment="1">
      <alignment horizontal="center" vertical="center"/>
    </xf>
    <xf numFmtId="0" fontId="6" fillId="0" borderId="9" xfId="0" applyFont="1" applyFill="1" applyBorder="1" applyAlignment="1">
      <alignment horizontal="center" vertical="center" wrapText="1"/>
    </xf>
    <xf numFmtId="2" fontId="11" fillId="2" borderId="0" xfId="0" applyNumberFormat="1" applyFont="1" applyFill="1" applyBorder="1" applyAlignment="1">
      <alignment horizontal="center" vertical="center" wrapText="1"/>
    </xf>
    <xf numFmtId="0" fontId="0" fillId="0" borderId="0" xfId="0" applyAlignment="1">
      <alignment horizontal="center" vertical="center"/>
    </xf>
    <xf numFmtId="164" fontId="10" fillId="6" borderId="9" xfId="0" applyNumberFormat="1" applyFont="1" applyFill="1" applyBorder="1" applyAlignment="1">
      <alignment horizontal="center" vertical="center"/>
    </xf>
    <xf numFmtId="0" fontId="5" fillId="8" borderId="0" xfId="0" applyFont="1" applyFill="1" applyBorder="1" applyAlignment="1">
      <alignment horizontal="center" vertical="center"/>
    </xf>
    <xf numFmtId="4" fontId="5" fillId="2" borderId="0" xfId="0" applyNumberFormat="1" applyFont="1" applyFill="1" applyBorder="1" applyAlignment="1">
      <alignment horizontal="center" vertical="center"/>
    </xf>
    <xf numFmtId="0" fontId="13" fillId="3" borderId="1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7" xfId="0" applyFont="1" applyBorder="1" applyAlignment="1">
      <alignment horizontal="center" vertical="center"/>
    </xf>
    <xf numFmtId="4" fontId="10" fillId="0" borderId="0" xfId="1" applyNumberFormat="1" applyFont="1" applyFill="1" applyBorder="1" applyAlignment="1">
      <alignment horizontal="center" vertical="center"/>
    </xf>
    <xf numFmtId="0" fontId="30" fillId="2" borderId="0" xfId="0" applyFont="1" applyFill="1" applyBorder="1" applyAlignment="1">
      <alignment horizontal="center" vertical="center"/>
    </xf>
    <xf numFmtId="4" fontId="11" fillId="2" borderId="0" xfId="0" applyNumberFormat="1" applyFont="1" applyFill="1" applyBorder="1" applyAlignment="1">
      <alignment horizontal="center" vertical="center"/>
    </xf>
    <xf numFmtId="0" fontId="0" fillId="0" borderId="0" xfId="0" applyFont="1" applyBorder="1" applyAlignment="1">
      <alignment horizontal="center" vertical="center"/>
    </xf>
    <xf numFmtId="4" fontId="11" fillId="3" borderId="10" xfId="0" applyNumberFormat="1" applyFont="1" applyFill="1" applyBorder="1" applyAlignment="1">
      <alignment horizontal="center" vertical="center"/>
    </xf>
    <xf numFmtId="165" fontId="5" fillId="3" borderId="4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0" borderId="7" xfId="0" applyFont="1" applyBorder="1" applyAlignment="1">
      <alignment horizontal="center" vertical="center"/>
    </xf>
    <xf numFmtId="0" fontId="10" fillId="6" borderId="9" xfId="0" applyNumberFormat="1" applyFont="1" applyFill="1" applyBorder="1" applyAlignment="1">
      <alignment horizontal="center" vertical="center"/>
    </xf>
    <xf numFmtId="0" fontId="4" fillId="2" borderId="0" xfId="0" applyFont="1" applyFill="1" applyAlignment="1">
      <alignment horizontal="center" vertical="center"/>
    </xf>
    <xf numFmtId="4" fontId="28" fillId="2" borderId="1" xfId="0" applyNumberFormat="1" applyFont="1" applyFill="1" applyBorder="1" applyAlignment="1"/>
    <xf numFmtId="4" fontId="28" fillId="2" borderId="2" xfId="0" applyNumberFormat="1" applyFont="1" applyFill="1" applyBorder="1" applyAlignment="1"/>
    <xf numFmtId="4" fontId="28" fillId="2" borderId="4" xfId="0" applyNumberFormat="1" applyFont="1" applyFill="1" applyBorder="1" applyAlignment="1"/>
    <xf numFmtId="0" fontId="7" fillId="9" borderId="10" xfId="0" applyFont="1" applyFill="1" applyBorder="1" applyAlignment="1">
      <alignment horizontal="center" vertical="center"/>
    </xf>
    <xf numFmtId="0" fontId="5" fillId="9" borderId="10" xfId="0" applyFont="1" applyFill="1" applyBorder="1" applyAlignment="1">
      <alignment horizontal="center" vertical="center"/>
    </xf>
    <xf numFmtId="43" fontId="6" fillId="9" borderId="10" xfId="1" applyNumberFormat="1"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0" fillId="2" borderId="0" xfId="0" applyFill="1" applyBorder="1" applyAlignment="1">
      <alignment horizontal="center" vertical="center"/>
    </xf>
    <xf numFmtId="0" fontId="21" fillId="2" borderId="10" xfId="0" applyFont="1" applyFill="1" applyBorder="1" applyAlignment="1">
      <alignment horizontal="center" vertical="center"/>
    </xf>
    <xf numFmtId="0" fontId="22" fillId="2" borderId="10" xfId="0" applyFont="1" applyFill="1" applyBorder="1" applyAlignment="1">
      <alignment horizontal="center" vertical="center" wrapText="1"/>
    </xf>
    <xf numFmtId="0" fontId="20" fillId="2" borderId="10" xfId="7" applyNumberFormat="1" applyFont="1" applyFill="1" applyBorder="1" applyAlignment="1">
      <alignment horizontal="center" vertical="center" wrapText="1"/>
    </xf>
    <xf numFmtId="165" fontId="26" fillId="0" borderId="10" xfId="0" applyNumberFormat="1" applyFont="1" applyBorder="1" applyAlignment="1">
      <alignment horizontal="center" vertical="center"/>
    </xf>
    <xf numFmtId="0" fontId="26" fillId="0" borderId="10" xfId="4" applyFont="1" applyBorder="1" applyAlignment="1">
      <alignment horizontal="center" vertical="center" wrapText="1"/>
    </xf>
    <xf numFmtId="10" fontId="27" fillId="2" borderId="10" xfId="6" applyNumberFormat="1" applyFont="1" applyFill="1" applyBorder="1" applyAlignment="1">
      <alignment horizontal="center"/>
    </xf>
    <xf numFmtId="165" fontId="5" fillId="2" borderId="10" xfId="0" applyNumberFormat="1" applyFont="1" applyFill="1" applyBorder="1" applyAlignment="1">
      <alignment horizontal="right"/>
    </xf>
    <xf numFmtId="0" fontId="5" fillId="0" borderId="10" xfId="4" applyFont="1" applyFill="1" applyBorder="1" applyAlignment="1">
      <alignment horizontal="justify" wrapText="1"/>
    </xf>
    <xf numFmtId="166" fontId="5" fillId="0" borderId="10" xfId="4" applyNumberFormat="1" applyFont="1" applyBorder="1" applyAlignment="1">
      <alignment vertical="top"/>
    </xf>
    <xf numFmtId="166" fontId="5" fillId="0" borderId="10" xfId="4" applyNumberFormat="1" applyFont="1" applyBorder="1" applyAlignment="1">
      <alignment horizontal="center"/>
    </xf>
    <xf numFmtId="166" fontId="5" fillId="0" borderId="10" xfId="4" applyNumberFormat="1" applyFont="1" applyBorder="1" applyAlignment="1">
      <alignment horizontal="right"/>
    </xf>
    <xf numFmtId="4" fontId="6" fillId="9" borderId="10" xfId="1" applyNumberFormat="1" applyFont="1" applyFill="1" applyBorder="1" applyAlignment="1">
      <alignment horizontal="center" vertical="center" wrapText="1"/>
    </xf>
    <xf numFmtId="164" fontId="10" fillId="12" borderId="9" xfId="0" applyNumberFormat="1" applyFont="1" applyFill="1" applyBorder="1" applyAlignment="1">
      <alignment horizontal="center" vertical="center"/>
    </xf>
    <xf numFmtId="4" fontId="5" fillId="9" borderId="12" xfId="0" applyNumberFormat="1" applyFont="1" applyFill="1" applyBorder="1" applyAlignment="1">
      <alignment horizontal="center" vertical="center"/>
    </xf>
    <xf numFmtId="0" fontId="5" fillId="9" borderId="13" xfId="0" applyFont="1" applyFill="1" applyBorder="1" applyAlignment="1">
      <alignment horizontal="center" vertical="center"/>
    </xf>
    <xf numFmtId="0" fontId="5" fillId="9" borderId="14" xfId="0" applyFont="1" applyFill="1" applyBorder="1" applyAlignment="1">
      <alignment horizontal="center" vertical="center"/>
    </xf>
    <xf numFmtId="0" fontId="11" fillId="9" borderId="14" xfId="0" applyFont="1" applyFill="1" applyBorder="1" applyAlignment="1">
      <alignment horizontal="center" vertical="center"/>
    </xf>
    <xf numFmtId="4" fontId="5" fillId="9" borderId="14" xfId="0" applyNumberFormat="1" applyFont="1" applyFill="1" applyBorder="1" applyAlignment="1">
      <alignment horizontal="center" vertical="center"/>
    </xf>
    <xf numFmtId="4" fontId="5" fillId="9" borderId="14" xfId="0" applyNumberFormat="1" applyFont="1" applyFill="1" applyBorder="1" applyAlignment="1">
      <alignment horizontal="center" vertical="center" wrapText="1"/>
    </xf>
    <xf numFmtId="2" fontId="7" fillId="2" borderId="10" xfId="0" applyNumberFormat="1" applyFont="1" applyFill="1" applyBorder="1" applyAlignment="1">
      <alignment horizontal="center" vertical="center"/>
    </xf>
    <xf numFmtId="164" fontId="5" fillId="13" borderId="9" xfId="0" applyNumberFormat="1" applyFont="1" applyFill="1" applyBorder="1" applyAlignment="1">
      <alignment horizontal="center" vertical="center"/>
    </xf>
    <xf numFmtId="164" fontId="5" fillId="13" borderId="10" xfId="0" applyNumberFormat="1" applyFont="1" applyFill="1" applyBorder="1" applyAlignment="1">
      <alignment horizontal="center" vertical="center"/>
    </xf>
    <xf numFmtId="0" fontId="5" fillId="13" borderId="10" xfId="0" applyFont="1" applyFill="1" applyBorder="1" applyAlignment="1">
      <alignment horizontal="center" vertical="center"/>
    </xf>
    <xf numFmtId="4" fontId="7" fillId="13" borderId="10" xfId="0" applyNumberFormat="1" applyFont="1" applyFill="1" applyBorder="1" applyAlignment="1">
      <alignment horizontal="center" vertical="center"/>
    </xf>
    <xf numFmtId="4" fontId="5" fillId="13" borderId="12" xfId="0" applyNumberFormat="1" applyFont="1" applyFill="1" applyBorder="1" applyAlignment="1">
      <alignment horizontal="center" vertical="center"/>
    </xf>
    <xf numFmtId="0" fontId="2" fillId="2" borderId="0" xfId="0" applyFont="1" applyFill="1" applyAlignment="1">
      <alignment horizontal="center" vertical="center" wrapText="1"/>
    </xf>
    <xf numFmtId="4" fontId="13" fillId="0" borderId="0" xfId="1" applyNumberFormat="1" applyFont="1" applyFill="1" applyBorder="1" applyAlignment="1">
      <alignment horizontal="center" vertical="center" wrapText="1"/>
    </xf>
    <xf numFmtId="0" fontId="34" fillId="2" borderId="10" xfId="7" applyFont="1" applyFill="1" applyBorder="1" applyAlignment="1">
      <alignment horizontal="center" vertical="center" wrapText="1"/>
    </xf>
    <xf numFmtId="4" fontId="22" fillId="2" borderId="10"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7" borderId="10" xfId="0" applyNumberFormat="1" applyFont="1" applyFill="1" applyBorder="1" applyAlignment="1">
      <alignment horizontal="center" vertical="center" wrapText="1"/>
    </xf>
    <xf numFmtId="4" fontId="7" fillId="0" borderId="10" xfId="1" applyNumberFormat="1" applyFont="1" applyFill="1" applyBorder="1" applyAlignment="1">
      <alignment horizontal="center" vertical="center" wrapText="1"/>
    </xf>
    <xf numFmtId="0" fontId="7" fillId="0" borderId="10" xfId="0" applyFont="1" applyBorder="1" applyAlignment="1">
      <alignment horizontal="center" vertical="center" wrapText="1"/>
    </xf>
    <xf numFmtId="4" fontId="7" fillId="2" borderId="10" xfId="1" applyNumberFormat="1" applyFont="1" applyFill="1" applyBorder="1" applyAlignment="1">
      <alignment horizontal="center" vertical="center" wrapText="1"/>
    </xf>
    <xf numFmtId="164" fontId="5" fillId="6" borderId="9" xfId="0" applyNumberFormat="1" applyFont="1" applyFill="1" applyBorder="1" applyAlignment="1">
      <alignment horizontal="center" vertical="center"/>
    </xf>
    <xf numFmtId="164" fontId="7" fillId="6" borderId="10"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43" fontId="7" fillId="3" borderId="10" xfId="1" applyNumberFormat="1" applyFont="1" applyFill="1" applyBorder="1" applyAlignment="1">
      <alignment horizontal="center" vertical="center" wrapText="1"/>
    </xf>
    <xf numFmtId="4" fontId="7" fillId="3" borderId="10" xfId="1" applyNumberFormat="1" applyFont="1" applyFill="1" applyBorder="1" applyAlignment="1">
      <alignment horizontal="center" vertical="center" wrapText="1"/>
    </xf>
    <xf numFmtId="0" fontId="31" fillId="3" borderId="10" xfId="4" applyFont="1" applyFill="1" applyBorder="1" applyAlignment="1">
      <alignment horizontal="center"/>
    </xf>
    <xf numFmtId="165" fontId="27" fillId="2" borderId="10" xfId="4" applyNumberFormat="1" applyFont="1" applyFill="1" applyBorder="1" applyAlignment="1">
      <alignment horizontal="center"/>
    </xf>
    <xf numFmtId="165" fontId="0" fillId="2" borderId="0" xfId="0" applyNumberFormat="1" applyFill="1"/>
    <xf numFmtId="0" fontId="2" fillId="4" borderId="0" xfId="0" applyFont="1" applyFill="1" applyBorder="1" applyAlignment="1">
      <alignment horizontal="center" vertical="center"/>
    </xf>
    <xf numFmtId="0" fontId="20" fillId="2" borderId="10" xfId="7" applyFont="1" applyFill="1" applyBorder="1" applyAlignment="1">
      <alignment horizontal="center" vertical="center" wrapText="1"/>
    </xf>
    <xf numFmtId="164" fontId="7" fillId="7" borderId="9" xfId="0" applyNumberFormat="1" applyFont="1" applyFill="1" applyBorder="1" applyAlignment="1">
      <alignment horizontal="center" vertical="center"/>
    </xf>
    <xf numFmtId="4" fontId="7" fillId="0" borderId="12" xfId="1" applyNumberFormat="1" applyFont="1" applyFill="1" applyBorder="1" applyAlignment="1">
      <alignment horizontal="center" vertical="center"/>
    </xf>
    <xf numFmtId="164" fontId="8" fillId="2" borderId="9"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26" fillId="0" borderId="13" xfId="0" applyFont="1" applyBorder="1" applyAlignment="1">
      <alignment horizontal="center" vertical="center"/>
    </xf>
    <xf numFmtId="0" fontId="26" fillId="0" borderId="10" xfId="4" applyFont="1" applyBorder="1" applyAlignment="1">
      <alignment horizontal="center" wrapText="1"/>
    </xf>
    <xf numFmtId="0" fontId="22" fillId="2" borderId="10" xfId="0" applyFont="1" applyFill="1" applyBorder="1" applyAlignment="1">
      <alignment horizontal="center" vertical="center"/>
    </xf>
    <xf numFmtId="0" fontId="20" fillId="2" borderId="10" xfId="7" applyFont="1" applyFill="1" applyBorder="1" applyAlignment="1">
      <alignment horizontal="center" vertical="center" wrapText="1"/>
    </xf>
    <xf numFmtId="4" fontId="3" fillId="2" borderId="0" xfId="0" applyNumberFormat="1" applyFont="1" applyFill="1" applyBorder="1" applyAlignment="1">
      <alignment horizontal="center" vertical="center"/>
    </xf>
    <xf numFmtId="0" fontId="5" fillId="10" borderId="10" xfId="4" applyFont="1" applyFill="1" applyBorder="1" applyAlignment="1">
      <alignment horizontal="left" vertical="top" wrapText="1"/>
    </xf>
    <xf numFmtId="0" fontId="5" fillId="0" borderId="10" xfId="4" applyFont="1" applyFill="1" applyBorder="1" applyAlignment="1">
      <alignment horizontal="center" wrapText="1"/>
    </xf>
    <xf numFmtId="165" fontId="35" fillId="3" borderId="10" xfId="0" applyNumberFormat="1" applyFont="1" applyFill="1" applyBorder="1"/>
    <xf numFmtId="165" fontId="35" fillId="2" borderId="10" xfId="0" applyNumberFormat="1" applyFont="1" applyFill="1" applyBorder="1" applyAlignment="1">
      <alignment horizontal="center"/>
    </xf>
    <xf numFmtId="10" fontId="0" fillId="0" borderId="0" xfId="0" applyNumberFormat="1"/>
    <xf numFmtId="2" fontId="27" fillId="2" borderId="10" xfId="4" applyNumberFormat="1" applyFont="1" applyFill="1" applyBorder="1" applyAlignment="1">
      <alignment horizontal="center"/>
    </xf>
    <xf numFmtId="0" fontId="31" fillId="2" borderId="10" xfId="4" applyFont="1" applyFill="1" applyBorder="1" applyAlignment="1">
      <alignment horizontal="center"/>
    </xf>
    <xf numFmtId="166" fontId="27" fillId="0" borderId="10" xfId="4" applyNumberFormat="1" applyFont="1" applyBorder="1" applyAlignment="1">
      <alignment horizontal="center"/>
    </xf>
    <xf numFmtId="10" fontId="0" fillId="0" borderId="10" xfId="0" applyNumberFormat="1" applyBorder="1" applyAlignment="1">
      <alignment horizontal="center"/>
    </xf>
    <xf numFmtId="165" fontId="0" fillId="0" borderId="10" xfId="0" applyNumberFormat="1" applyFont="1" applyBorder="1" applyAlignment="1">
      <alignment horizontal="center"/>
    </xf>
    <xf numFmtId="165" fontId="30" fillId="0" borderId="10" xfId="0" applyNumberFormat="1" applyFont="1" applyBorder="1" applyAlignment="1">
      <alignment horizontal="center"/>
    </xf>
    <xf numFmtId="2" fontId="29" fillId="0" borderId="10" xfId="0" applyNumberFormat="1" applyFont="1" applyBorder="1" applyAlignment="1">
      <alignment horizontal="center" vertical="center"/>
    </xf>
    <xf numFmtId="2" fontId="29" fillId="0" borderId="10" xfId="0" applyNumberFormat="1" applyFont="1" applyBorder="1" applyAlignment="1">
      <alignment horizontal="center" vertical="center" wrapText="1"/>
    </xf>
    <xf numFmtId="164" fontId="26" fillId="11" borderId="9" xfId="0" applyNumberFormat="1" applyFont="1" applyFill="1" applyBorder="1" applyAlignment="1">
      <alignment horizontal="center" vertical="center"/>
    </xf>
    <xf numFmtId="0" fontId="28" fillId="11" borderId="10" xfId="0" applyFont="1" applyFill="1" applyBorder="1" applyAlignment="1">
      <alignment horizontal="center" vertical="center"/>
    </xf>
    <xf numFmtId="2" fontId="7" fillId="11" borderId="10" xfId="0" applyNumberFormat="1" applyFont="1" applyFill="1" applyBorder="1" applyAlignment="1">
      <alignment horizontal="center" vertical="center"/>
    </xf>
    <xf numFmtId="164" fontId="27" fillId="8" borderId="9" xfId="0" applyNumberFormat="1" applyFont="1" applyFill="1" applyBorder="1" applyAlignment="1">
      <alignment horizontal="center" vertical="center"/>
    </xf>
    <xf numFmtId="2" fontId="9" fillId="8" borderId="10" xfId="0" applyNumberFormat="1" applyFont="1" applyFill="1" applyBorder="1" applyAlignment="1">
      <alignment horizontal="center" vertical="center" wrapText="1"/>
    </xf>
    <xf numFmtId="2" fontId="7" fillId="8" borderId="10" xfId="0" applyNumberFormat="1" applyFont="1" applyFill="1" applyBorder="1" applyAlignment="1">
      <alignment horizontal="center" vertical="center"/>
    </xf>
    <xf numFmtId="2" fontId="5" fillId="8" borderId="12" xfId="0" applyNumberFormat="1" applyFont="1" applyFill="1" applyBorder="1" applyAlignment="1">
      <alignment horizontal="center" vertical="center"/>
    </xf>
    <xf numFmtId="164" fontId="27" fillId="8" borderId="13" xfId="0" applyNumberFormat="1" applyFont="1" applyFill="1" applyBorder="1" applyAlignment="1">
      <alignment horizontal="center" vertical="center"/>
    </xf>
    <xf numFmtId="2" fontId="9" fillId="8" borderId="14" xfId="0" applyNumberFormat="1" applyFont="1" applyFill="1" applyBorder="1" applyAlignment="1">
      <alignment horizontal="center" vertical="center" wrapText="1"/>
    </xf>
    <xf numFmtId="2" fontId="7" fillId="8" borderId="14" xfId="0" applyNumberFormat="1" applyFont="1" applyFill="1" applyBorder="1" applyAlignment="1">
      <alignment horizontal="center" vertical="center"/>
    </xf>
    <xf numFmtId="0" fontId="5" fillId="0" borderId="13" xfId="0" applyFont="1" applyBorder="1" applyAlignment="1">
      <alignment horizontal="center" vertical="center"/>
    </xf>
    <xf numFmtId="0" fontId="0" fillId="3" borderId="10" xfId="0" applyFill="1" applyBorder="1"/>
    <xf numFmtId="0" fontId="0" fillId="3" borderId="12" xfId="0" applyFill="1" applyBorder="1"/>
    <xf numFmtId="0" fontId="13" fillId="9" borderId="9" xfId="0" applyFont="1" applyFill="1" applyBorder="1" applyAlignment="1">
      <alignment horizontal="center" vertical="center" wrapText="1"/>
    </xf>
    <xf numFmtId="43" fontId="13" fillId="9" borderId="10" xfId="1" applyNumberFormat="1" applyFont="1" applyFill="1" applyBorder="1" applyAlignment="1">
      <alignment horizontal="center" vertical="center" wrapText="1"/>
    </xf>
    <xf numFmtId="4" fontId="10" fillId="9" borderId="10" xfId="1" applyNumberFormat="1" applyFont="1" applyFill="1" applyBorder="1" applyAlignment="1">
      <alignment horizontal="center" vertical="center"/>
    </xf>
    <xf numFmtId="2" fontId="30" fillId="9" borderId="10" xfId="0" applyNumberFormat="1" applyFont="1" applyFill="1" applyBorder="1" applyAlignment="1">
      <alignment horizontal="center" vertical="center"/>
    </xf>
    <xf numFmtId="2" fontId="30" fillId="9" borderId="12" xfId="0" applyNumberFormat="1" applyFont="1" applyFill="1" applyBorder="1" applyAlignment="1">
      <alignment horizontal="center" vertical="center"/>
    </xf>
    <xf numFmtId="2" fontId="0" fillId="0" borderId="0" xfId="0" applyNumberFormat="1"/>
    <xf numFmtId="2" fontId="0" fillId="2" borderId="10" xfId="0" applyNumberFormat="1" applyFill="1" applyBorder="1" applyAlignment="1">
      <alignment horizontal="center" vertical="center"/>
    </xf>
    <xf numFmtId="2" fontId="0" fillId="2" borderId="12" xfId="0" applyNumberFormat="1" applyFill="1" applyBorder="1" applyAlignment="1">
      <alignment horizontal="center" vertical="center"/>
    </xf>
    <xf numFmtId="2" fontId="30" fillId="2" borderId="10" xfId="0" applyNumberFormat="1" applyFont="1" applyFill="1" applyBorder="1" applyAlignment="1">
      <alignment horizontal="center" vertical="center"/>
    </xf>
    <xf numFmtId="2" fontId="0" fillId="2" borderId="41" xfId="0" applyNumberFormat="1" applyFill="1" applyBorder="1" applyAlignment="1">
      <alignment horizontal="center" vertical="center"/>
    </xf>
    <xf numFmtId="2" fontId="0" fillId="2" borderId="12" xfId="0" applyNumberFormat="1" applyFont="1" applyFill="1" applyBorder="1" applyAlignment="1">
      <alignment horizontal="center" vertical="center"/>
    </xf>
    <xf numFmtId="167" fontId="20" fillId="2" borderId="10" xfId="7" applyNumberFormat="1" applyFont="1" applyFill="1" applyBorder="1" applyAlignment="1">
      <alignment horizontal="center" vertical="center"/>
    </xf>
    <xf numFmtId="165" fontId="35" fillId="2" borderId="10" xfId="0" applyNumberFormat="1" applyFont="1" applyFill="1" applyBorder="1"/>
    <xf numFmtId="0" fontId="6" fillId="0"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43" fontId="13" fillId="3" borderId="10" xfId="1" applyNumberFormat="1" applyFont="1" applyFill="1" applyBorder="1" applyAlignment="1">
      <alignment horizontal="center" vertical="center" wrapText="1"/>
    </xf>
    <xf numFmtId="4" fontId="10" fillId="3" borderId="10" xfId="1" applyNumberFormat="1" applyFont="1" applyFill="1" applyBorder="1" applyAlignment="1">
      <alignment horizontal="center" vertical="center"/>
    </xf>
    <xf numFmtId="2" fontId="30" fillId="3" borderId="10" xfId="0" applyNumberFormat="1" applyFont="1" applyFill="1" applyBorder="1" applyAlignment="1">
      <alignment horizontal="center" vertical="center"/>
    </xf>
    <xf numFmtId="2" fontId="30" fillId="3" borderId="12" xfId="0" applyNumberFormat="1" applyFont="1" applyFill="1" applyBorder="1" applyAlignment="1">
      <alignment horizontal="center" vertical="center"/>
    </xf>
    <xf numFmtId="4" fontId="5" fillId="3" borderId="10" xfId="0" applyNumberFormat="1" applyFont="1" applyFill="1" applyBorder="1" applyAlignment="1">
      <alignment horizontal="center" vertical="center"/>
    </xf>
    <xf numFmtId="4" fontId="7" fillId="2" borderId="29" xfId="1" applyNumberFormat="1" applyFont="1" applyFill="1" applyBorder="1" applyAlignment="1">
      <alignment horizontal="center" vertical="center" wrapText="1"/>
    </xf>
    <xf numFmtId="4" fontId="5" fillId="2" borderId="29" xfId="0" applyNumberFormat="1" applyFont="1" applyFill="1" applyBorder="1" applyAlignment="1">
      <alignment horizontal="center" vertical="center"/>
    </xf>
    <xf numFmtId="0" fontId="0" fillId="0" borderId="0" xfId="0"/>
    <xf numFmtId="4" fontId="9" fillId="2" borderId="10" xfId="0" applyNumberFormat="1" applyFont="1" applyFill="1" applyBorder="1" applyAlignment="1">
      <alignment horizontal="center" vertical="center"/>
    </xf>
    <xf numFmtId="0" fontId="8" fillId="7" borderId="10" xfId="0" applyNumberFormat="1" applyFont="1" applyFill="1" applyBorder="1" applyAlignment="1">
      <alignment horizontal="center" vertical="center" wrapText="1"/>
    </xf>
    <xf numFmtId="164" fontId="8" fillId="7" borderId="9" xfId="0" applyNumberFormat="1" applyFont="1" applyFill="1" applyBorder="1" applyAlignment="1">
      <alignment horizontal="center" vertical="center"/>
    </xf>
    <xf numFmtId="4" fontId="7" fillId="2" borderId="12"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3" fillId="5" borderId="7" xfId="0" applyFont="1" applyFill="1" applyBorder="1" applyAlignment="1">
      <alignment horizontal="center" vertical="center"/>
    </xf>
    <xf numFmtId="2" fontId="11" fillId="2" borderId="0" xfId="0" applyNumberFormat="1" applyFont="1" applyFill="1" applyBorder="1" applyAlignment="1">
      <alignment horizontal="center" vertical="center" wrapText="1"/>
    </xf>
    <xf numFmtId="0" fontId="9" fillId="7" borderId="10" xfId="0" applyFont="1" applyFill="1" applyBorder="1" applyAlignment="1">
      <alignment horizontal="center" vertical="center" wrapText="1"/>
    </xf>
    <xf numFmtId="0" fontId="22" fillId="2" borderId="10" xfId="0" applyFont="1" applyFill="1" applyBorder="1" applyAlignment="1">
      <alignment horizontal="center" vertical="center"/>
    </xf>
    <xf numFmtId="0" fontId="20" fillId="2" borderId="10" xfId="7" applyFont="1" applyFill="1" applyBorder="1" applyAlignment="1">
      <alignment horizontal="center" vertical="center" wrapText="1"/>
    </xf>
    <xf numFmtId="0" fontId="22" fillId="2" borderId="10" xfId="0" applyFont="1" applyFill="1" applyBorder="1" applyAlignment="1">
      <alignment horizontal="center" vertical="center"/>
    </xf>
    <xf numFmtId="0" fontId="20" fillId="2" borderId="10" xfId="7" applyFont="1" applyFill="1" applyBorder="1" applyAlignment="1">
      <alignment horizontal="center" vertical="center" wrapText="1"/>
    </xf>
    <xf numFmtId="164" fontId="8" fillId="8" borderId="10" xfId="0" applyNumberFormat="1" applyFont="1" applyFill="1" applyBorder="1" applyAlignment="1">
      <alignment horizontal="center" vertical="center" wrapText="1"/>
    </xf>
    <xf numFmtId="0" fontId="0" fillId="2" borderId="10" xfId="0" applyFill="1" applyBorder="1" applyAlignment="1">
      <alignment horizontal="center" wrapText="1"/>
    </xf>
    <xf numFmtId="0" fontId="9" fillId="2" borderId="9" xfId="0" applyFont="1" applyFill="1" applyBorder="1" applyAlignment="1">
      <alignment horizontal="center" vertical="center"/>
    </xf>
    <xf numFmtId="0" fontId="6" fillId="2" borderId="10" xfId="0" applyFont="1" applyFill="1" applyBorder="1" applyAlignment="1">
      <alignment horizontal="center" vertical="center" wrapText="1"/>
    </xf>
    <xf numFmtId="43" fontId="6" fillId="2" borderId="10" xfId="8"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4" fontId="6" fillId="2" borderId="10" xfId="8" applyNumberFormat="1" applyFont="1" applyFill="1" applyBorder="1" applyAlignment="1">
      <alignment horizontal="center" vertical="center" wrapText="1"/>
    </xf>
    <xf numFmtId="4" fontId="6" fillId="2" borderId="12" xfId="8"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4" fontId="8" fillId="2" borderId="10" xfId="1" applyNumberFormat="1" applyFont="1" applyFill="1" applyBorder="1" applyAlignment="1">
      <alignment horizontal="center" vertical="center"/>
    </xf>
    <xf numFmtId="4" fontId="6" fillId="2" borderId="12" xfId="1" applyNumberFormat="1" applyFont="1" applyFill="1" applyBorder="1" applyAlignment="1">
      <alignment horizontal="center" vertical="center" wrapText="1"/>
    </xf>
    <xf numFmtId="0" fontId="9" fillId="8" borderId="10" xfId="0" applyFont="1" applyFill="1" applyBorder="1" applyAlignment="1">
      <alignment horizontal="center" vertical="center" wrapText="1"/>
    </xf>
    <xf numFmtId="0" fontId="8" fillId="8" borderId="10"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43" fontId="7" fillId="2" borderId="10" xfId="1" applyNumberFormat="1" applyFont="1" applyFill="1" applyBorder="1" applyAlignment="1">
      <alignment horizontal="center" vertical="center" wrapText="1"/>
    </xf>
    <xf numFmtId="4" fontId="7" fillId="2" borderId="10" xfId="1" applyNumberFormat="1" applyFont="1" applyFill="1" applyBorder="1" applyAlignment="1">
      <alignment horizontal="center" vertical="center"/>
    </xf>
    <xf numFmtId="4" fontId="7" fillId="2" borderId="12" xfId="1"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4" xfId="0" applyFont="1" applyFill="1" applyBorder="1" applyAlignment="1">
      <alignment horizontal="center" vertical="center" wrapText="1"/>
    </xf>
    <xf numFmtId="4" fontId="7" fillId="2" borderId="12" xfId="1" applyNumberFormat="1" applyFont="1" applyFill="1" applyBorder="1" applyAlignment="1">
      <alignment horizontal="center" vertical="center"/>
    </xf>
    <xf numFmtId="0" fontId="0" fillId="2" borderId="0" xfId="0" applyFill="1" applyBorder="1" applyAlignment="1">
      <alignment horizontal="center" wrapText="1"/>
    </xf>
    <xf numFmtId="0" fontId="0" fillId="0" borderId="0" xfId="0" applyBorder="1"/>
    <xf numFmtId="0" fontId="0" fillId="2" borderId="10" xfId="0" applyFill="1" applyBorder="1" applyAlignment="1">
      <alignment horizontal="center" vertical="center"/>
    </xf>
    <xf numFmtId="0" fontId="0" fillId="2" borderId="0" xfId="0" applyFill="1" applyBorder="1" applyAlignment="1">
      <alignment horizontal="left"/>
    </xf>
    <xf numFmtId="0" fontId="21" fillId="2" borderId="10" xfId="7" applyFont="1" applyFill="1" applyBorder="1" applyAlignment="1">
      <alignment horizontal="center" vertical="center" wrapText="1"/>
    </xf>
    <xf numFmtId="4" fontId="34" fillId="2" borderId="10" xfId="7" applyNumberFormat="1" applyFont="1" applyFill="1" applyBorder="1" applyAlignment="1">
      <alignment horizontal="center" vertical="center"/>
    </xf>
    <xf numFmtId="0" fontId="0" fillId="2" borderId="0" xfId="0" applyFill="1" applyBorder="1" applyAlignment="1">
      <alignment horizontal="center"/>
    </xf>
    <xf numFmtId="0" fontId="0" fillId="0" borderId="0" xfId="0" applyBorder="1" applyAlignment="1">
      <alignment horizontal="center"/>
    </xf>
    <xf numFmtId="0" fontId="0" fillId="2" borderId="0" xfId="0" applyFill="1" applyBorder="1" applyAlignment="1">
      <alignment horizontal="right"/>
    </xf>
    <xf numFmtId="0" fontId="0" fillId="2" borderId="0" xfId="0" applyNumberFormat="1" applyFill="1" applyBorder="1" applyAlignment="1">
      <alignment horizontal="center"/>
    </xf>
    <xf numFmtId="2" fontId="0" fillId="2" borderId="0" xfId="0" applyNumberFormat="1" applyFill="1" applyBorder="1"/>
    <xf numFmtId="3" fontId="0" fillId="2" borderId="0" xfId="0" applyNumberFormat="1" applyFill="1" applyBorder="1" applyAlignment="1">
      <alignment horizontal="center"/>
    </xf>
    <xf numFmtId="2" fontId="20" fillId="2" borderId="10" xfId="7" applyNumberFormat="1" applyFont="1" applyFill="1" applyBorder="1" applyAlignment="1">
      <alignment horizontal="center" vertical="center" wrapText="1"/>
    </xf>
    <xf numFmtId="0" fontId="9" fillId="2" borderId="10" xfId="2" applyFont="1" applyFill="1" applyBorder="1" applyAlignment="1">
      <alignment horizontal="center" vertical="center" wrapText="1"/>
    </xf>
    <xf numFmtId="2" fontId="8" fillId="8" borderId="10" xfId="0" applyNumberFormat="1" applyFont="1" applyFill="1" applyBorder="1" applyAlignment="1">
      <alignment horizontal="center" vertical="center"/>
    </xf>
    <xf numFmtId="0" fontId="37" fillId="14" borderId="10" xfId="9" applyFont="1" applyFill="1" applyBorder="1" applyAlignment="1">
      <alignment horizontal="center" vertical="center" wrapText="1"/>
    </xf>
    <xf numFmtId="0" fontId="37" fillId="14" borderId="0" xfId="9" applyFont="1" applyFill="1" applyBorder="1" applyAlignment="1">
      <alignment horizontal="center" vertical="center" wrapText="1"/>
    </xf>
    <xf numFmtId="0" fontId="37" fillId="14" borderId="0" xfId="9" applyFont="1" applyFill="1" applyBorder="1" applyAlignment="1">
      <alignment horizontal="left" vertical="center" wrapText="1"/>
    </xf>
    <xf numFmtId="4" fontId="37" fillId="14" borderId="0" xfId="9"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4" fontId="20" fillId="2" borderId="0" xfId="7" applyNumberFormat="1" applyFont="1" applyFill="1" applyBorder="1" applyAlignment="1">
      <alignment horizontal="center" vertical="center"/>
    </xf>
    <xf numFmtId="0" fontId="0" fillId="0" borderId="0" xfId="0" applyBorder="1" applyAlignment="1">
      <alignment horizontal="center" vertical="center"/>
    </xf>
    <xf numFmtId="0" fontId="20" fillId="2" borderId="10" xfId="7"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10" xfId="0" applyFont="1" applyFill="1" applyBorder="1" applyAlignment="1">
      <alignment horizontal="center" vertical="center"/>
    </xf>
    <xf numFmtId="0" fontId="20" fillId="2" borderId="10" xfId="7"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2" fontId="38" fillId="2" borderId="0" xfId="0" applyNumberFormat="1" applyFont="1" applyFill="1" applyBorder="1" applyAlignment="1">
      <alignment horizontal="center" vertical="center"/>
    </xf>
    <xf numFmtId="2" fontId="5" fillId="16" borderId="0" xfId="0" applyNumberFormat="1" applyFont="1" applyFill="1" applyBorder="1" applyAlignment="1">
      <alignment horizontal="center" vertical="center"/>
    </xf>
    <xf numFmtId="0" fontId="4" fillId="15" borderId="0" xfId="0" applyFont="1" applyFill="1" applyBorder="1" applyAlignment="1">
      <alignment horizontal="center" vertical="center"/>
    </xf>
    <xf numFmtId="2" fontId="11" fillId="15" borderId="0" xfId="0" applyNumberFormat="1" applyFont="1" applyFill="1" applyBorder="1" applyAlignment="1">
      <alignment horizontal="center" vertical="center" wrapText="1"/>
    </xf>
    <xf numFmtId="2" fontId="2" fillId="15" borderId="0" xfId="0" applyNumberFormat="1" applyFont="1" applyFill="1" applyBorder="1" applyAlignment="1">
      <alignment horizontal="center" vertical="center"/>
    </xf>
    <xf numFmtId="0" fontId="2" fillId="15" borderId="0" xfId="0" applyFont="1" applyFill="1" applyBorder="1" applyAlignment="1">
      <alignment horizontal="center" vertical="center"/>
    </xf>
    <xf numFmtId="0" fontId="39" fillId="2" borderId="0" xfId="0" applyFont="1" applyFill="1" applyBorder="1" applyAlignment="1">
      <alignment horizontal="center" vertical="center"/>
    </xf>
    <xf numFmtId="2" fontId="39" fillId="2" borderId="0" xfId="0" applyNumberFormat="1" applyFont="1" applyFill="1" applyBorder="1" applyAlignment="1">
      <alignment horizontal="center" vertical="center"/>
    </xf>
    <xf numFmtId="0" fontId="7" fillId="0" borderId="14" xfId="0" applyNumberFormat="1" applyFont="1" applyBorder="1" applyAlignment="1">
      <alignment horizontal="center" vertical="center" wrapText="1"/>
    </xf>
    <xf numFmtId="4" fontId="6" fillId="0" borderId="10" xfId="1" applyNumberFormat="1" applyFont="1" applyFill="1" applyBorder="1" applyAlignment="1">
      <alignment horizontal="center" vertical="center" wrapText="1"/>
    </xf>
    <xf numFmtId="4" fontId="6" fillId="0" borderId="12" xfId="1"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11" fillId="17" borderId="0" xfId="0" applyNumberFormat="1" applyFont="1" applyFill="1" applyBorder="1" applyAlignment="1">
      <alignment horizontal="center" vertical="center" wrapText="1"/>
    </xf>
    <xf numFmtId="4" fontId="2" fillId="2" borderId="0" xfId="0" applyNumberFormat="1" applyFont="1" applyFill="1" applyAlignment="1">
      <alignment horizontal="center" vertical="center"/>
    </xf>
    <xf numFmtId="168" fontId="4" fillId="0" borderId="0" xfId="6" applyNumberFormat="1" applyFont="1" applyAlignment="1">
      <alignment horizontal="center" vertical="center"/>
    </xf>
    <xf numFmtId="0" fontId="0" fillId="0" borderId="10" xfId="0" applyBorder="1"/>
    <xf numFmtId="4" fontId="27" fillId="0" borderId="10" xfId="6" applyNumberFormat="1" applyFont="1" applyFill="1" applyBorder="1" applyAlignment="1">
      <alignment horizontal="center"/>
    </xf>
    <xf numFmtId="2" fontId="6" fillId="0" borderId="10" xfId="0" applyNumberFormat="1"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43" fontId="5" fillId="2" borderId="17" xfId="1" applyFont="1" applyFill="1" applyBorder="1" applyAlignment="1">
      <alignment horizontal="center" vertical="center" wrapText="1"/>
    </xf>
    <xf numFmtId="43" fontId="5" fillId="2" borderId="16" xfId="1" applyFont="1" applyFill="1" applyBorder="1" applyAlignment="1">
      <alignment horizontal="center" vertical="center" wrapText="1"/>
    </xf>
    <xf numFmtId="43" fontId="5" fillId="2" borderId="18" xfId="1"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3" fillId="10" borderId="27" xfId="4" applyFont="1" applyFill="1" applyBorder="1" applyAlignment="1">
      <alignment horizontal="center" vertical="center"/>
    </xf>
    <xf numFmtId="0" fontId="33" fillId="10" borderId="28" xfId="4" applyFont="1" applyFill="1" applyBorder="1" applyAlignment="1">
      <alignment horizontal="center" vertical="center"/>
    </xf>
    <xf numFmtId="0" fontId="33" fillId="10" borderId="26" xfId="4" applyFont="1" applyFill="1" applyBorder="1" applyAlignment="1">
      <alignment horizontal="center" vertical="center"/>
    </xf>
    <xf numFmtId="0" fontId="33" fillId="10" borderId="29" xfId="4" applyFont="1" applyFill="1" applyBorder="1" applyAlignment="1">
      <alignment horizontal="center" vertical="center"/>
    </xf>
    <xf numFmtId="0" fontId="33" fillId="10" borderId="0" xfId="4" applyFont="1" applyFill="1" applyBorder="1" applyAlignment="1">
      <alignment horizontal="center" vertical="center"/>
    </xf>
    <xf numFmtId="0" fontId="33" fillId="10" borderId="30" xfId="4" applyFont="1" applyFill="1" applyBorder="1" applyAlignment="1">
      <alignment horizontal="center" vertical="center"/>
    </xf>
    <xf numFmtId="0" fontId="25" fillId="10" borderId="29"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30" xfId="4" applyFont="1" applyFill="1" applyBorder="1" applyAlignment="1">
      <alignment horizontal="center" vertical="center"/>
    </xf>
    <xf numFmtId="0" fontId="25" fillId="10" borderId="31" xfId="4" applyFont="1" applyFill="1" applyBorder="1" applyAlignment="1">
      <alignment horizontal="center" vertical="center"/>
    </xf>
    <xf numFmtId="0" fontId="25" fillId="10" borderId="32" xfId="4" applyFont="1" applyFill="1" applyBorder="1" applyAlignment="1">
      <alignment horizontal="center" vertical="center"/>
    </xf>
    <xf numFmtId="0" fontId="25" fillId="10" borderId="33" xfId="4" applyFont="1" applyFill="1" applyBorder="1" applyAlignment="1">
      <alignment horizontal="center" vertical="center"/>
    </xf>
    <xf numFmtId="0" fontId="0" fillId="10" borderId="11" xfId="4" applyFont="1" applyFill="1" applyBorder="1" applyAlignment="1">
      <alignment horizontal="left" wrapText="1"/>
    </xf>
    <xf numFmtId="0" fontId="0" fillId="10" borderId="24" xfId="4" applyFont="1" applyFill="1" applyBorder="1" applyAlignment="1">
      <alignment horizontal="left" wrapText="1"/>
    </xf>
    <xf numFmtId="0" fontId="0" fillId="10" borderId="34" xfId="4" applyFont="1" applyFill="1" applyBorder="1" applyAlignment="1">
      <alignment horizontal="left" wrapText="1"/>
    </xf>
    <xf numFmtId="0" fontId="26" fillId="0" borderId="10" xfId="4" applyFont="1" applyBorder="1" applyAlignment="1">
      <alignment horizontal="center" wrapText="1"/>
    </xf>
    <xf numFmtId="2" fontId="27" fillId="0" borderId="14" xfId="4" applyNumberFormat="1" applyFont="1" applyBorder="1" applyAlignment="1">
      <alignment horizontal="center" vertical="center"/>
    </xf>
    <xf numFmtId="2" fontId="27" fillId="0" borderId="35" xfId="4" applyNumberFormat="1" applyFont="1" applyBorder="1" applyAlignment="1">
      <alignment horizontal="center" vertical="center"/>
    </xf>
    <xf numFmtId="2" fontId="27" fillId="0" borderId="36" xfId="4" applyNumberFormat="1" applyFont="1" applyBorder="1" applyAlignment="1">
      <alignment horizontal="center" vertical="center"/>
    </xf>
    <xf numFmtId="0" fontId="26" fillId="0" borderId="11" xfId="4" applyFont="1" applyBorder="1" applyAlignment="1">
      <alignment horizontal="center" vertical="top" wrapText="1"/>
    </xf>
    <xf numFmtId="0" fontId="26" fillId="0" borderId="24" xfId="4" applyFont="1" applyBorder="1" applyAlignment="1">
      <alignment horizontal="center" vertical="top" wrapText="1"/>
    </xf>
    <xf numFmtId="0" fontId="26" fillId="0" borderId="34" xfId="4" applyFont="1" applyBorder="1" applyAlignment="1">
      <alignment horizontal="center" vertical="top" wrapText="1"/>
    </xf>
    <xf numFmtId="0" fontId="26" fillId="2" borderId="10" xfId="4" applyFont="1" applyFill="1" applyBorder="1" applyAlignment="1">
      <alignment horizontal="center" vertical="center"/>
    </xf>
    <xf numFmtId="0" fontId="26" fillId="2" borderId="10" xfId="4" applyFont="1" applyFill="1" applyBorder="1" applyAlignment="1">
      <alignment horizontal="center" vertical="center" wrapText="1"/>
    </xf>
    <xf numFmtId="2" fontId="27" fillId="0" borderId="10" xfId="4" applyNumberFormat="1" applyFont="1" applyBorder="1" applyAlignment="1">
      <alignment horizontal="center" vertical="center"/>
    </xf>
    <xf numFmtId="0" fontId="20" fillId="2" borderId="10" xfId="7" applyFont="1" applyFill="1" applyBorder="1" applyAlignment="1">
      <alignment horizontal="center" vertical="center" wrapText="1"/>
    </xf>
    <xf numFmtId="0" fontId="20" fillId="0" borderId="10" xfId="7" applyFont="1" applyFill="1" applyBorder="1" applyAlignment="1">
      <alignment horizontal="center" vertical="center" wrapText="1"/>
    </xf>
    <xf numFmtId="0" fontId="24" fillId="0" borderId="10" xfId="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2" fillId="2" borderId="10" xfId="0" applyFont="1" applyFill="1" applyBorder="1" applyAlignment="1">
      <alignment horizontal="center" vertical="center"/>
    </xf>
    <xf numFmtId="0" fontId="18" fillId="0" borderId="10" xfId="7" applyFont="1" applyFill="1" applyBorder="1" applyAlignment="1">
      <alignment horizontal="center" vertical="center" wrapText="1"/>
    </xf>
    <xf numFmtId="0" fontId="24" fillId="0" borderId="11" xfId="7" applyFont="1" applyFill="1" applyBorder="1" applyAlignment="1">
      <alignment horizontal="center" vertical="center" wrapText="1"/>
    </xf>
    <xf numFmtId="0" fontId="24" fillId="0" borderId="34" xfId="7" applyFont="1" applyFill="1" applyBorder="1" applyAlignment="1">
      <alignment horizontal="center" vertical="center" wrapText="1"/>
    </xf>
    <xf numFmtId="0" fontId="20" fillId="2" borderId="11" xfId="7" applyFont="1" applyFill="1" applyBorder="1" applyAlignment="1">
      <alignment horizontal="center" vertical="center" wrapText="1"/>
    </xf>
    <xf numFmtId="0" fontId="20" fillId="2" borderId="34" xfId="7" applyFont="1" applyFill="1" applyBorder="1" applyAlignment="1">
      <alignment horizontal="center" vertical="center" wrapText="1"/>
    </xf>
    <xf numFmtId="0" fontId="20" fillId="0" borderId="11" xfId="7" applyFont="1" applyFill="1" applyBorder="1" applyAlignment="1">
      <alignment horizontal="center" vertical="center" wrapText="1"/>
    </xf>
    <xf numFmtId="0" fontId="20" fillId="0" borderId="34" xfId="7" applyFont="1" applyFill="1" applyBorder="1" applyAlignment="1">
      <alignment horizontal="center" vertical="center" wrapText="1"/>
    </xf>
    <xf numFmtId="0" fontId="12" fillId="2" borderId="28" xfId="0" applyFont="1" applyFill="1" applyBorder="1" applyAlignment="1">
      <alignment horizontal="left" vertical="center"/>
    </xf>
    <xf numFmtId="0" fontId="12" fillId="2" borderId="26" xfId="0" applyFont="1" applyFill="1" applyBorder="1" applyAlignment="1">
      <alignment horizontal="left" vertical="center"/>
    </xf>
    <xf numFmtId="0" fontId="12" fillId="2" borderId="0" xfId="0" applyFont="1" applyFill="1" applyBorder="1" applyAlignment="1">
      <alignment horizontal="left" vertical="center"/>
    </xf>
    <xf numFmtId="0" fontId="12" fillId="2" borderId="30" xfId="0" applyFont="1" applyFill="1" applyBorder="1" applyAlignment="1">
      <alignment horizontal="left" vertical="center"/>
    </xf>
    <xf numFmtId="0" fontId="16" fillId="2" borderId="0" xfId="0" applyFont="1" applyFill="1" applyBorder="1" applyAlignment="1"/>
    <xf numFmtId="0" fontId="16" fillId="2" borderId="30" xfId="0" applyFont="1" applyFill="1" applyBorder="1" applyAlignment="1"/>
    <xf numFmtId="0" fontId="16" fillId="2" borderId="0" xfId="0" applyFont="1" applyFill="1" applyBorder="1" applyAlignment="1">
      <alignment horizontal="left"/>
    </xf>
    <xf numFmtId="0" fontId="16" fillId="2" borderId="30" xfId="0" applyFont="1" applyFill="1" applyBorder="1" applyAlignment="1">
      <alignment horizontal="left"/>
    </xf>
    <xf numFmtId="0" fontId="16" fillId="2" borderId="32" xfId="0" applyFont="1" applyFill="1" applyBorder="1" applyAlignment="1">
      <alignment horizontal="left" vertical="top"/>
    </xf>
    <xf numFmtId="0" fontId="16" fillId="2" borderId="33" xfId="0" applyFont="1" applyFill="1" applyBorder="1" applyAlignment="1">
      <alignment horizontal="left" vertical="top"/>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22" fillId="2" borderId="11" xfId="0" applyFont="1" applyFill="1" applyBorder="1" applyAlignment="1">
      <alignment horizontal="center" vertical="center"/>
    </xf>
    <xf numFmtId="0" fontId="22" fillId="2" borderId="34" xfId="0" applyFont="1" applyFill="1" applyBorder="1" applyAlignment="1">
      <alignment horizontal="center" vertical="center"/>
    </xf>
    <xf numFmtId="0" fontId="20" fillId="0" borderId="0" xfId="7" applyFont="1" applyFill="1" applyBorder="1" applyAlignment="1">
      <alignment horizontal="center" vertical="center" wrapText="1"/>
    </xf>
    <xf numFmtId="0" fontId="15" fillId="2" borderId="0" xfId="0" applyFont="1" applyFill="1" applyBorder="1" applyAlignment="1">
      <alignment horizontal="left" vertical="top"/>
    </xf>
    <xf numFmtId="0" fontId="15" fillId="2" borderId="30" xfId="0" applyFont="1" applyFill="1" applyBorder="1" applyAlignment="1">
      <alignment horizontal="left" vertical="top"/>
    </xf>
    <xf numFmtId="0" fontId="14" fillId="2" borderId="28" xfId="0" applyFont="1" applyFill="1" applyBorder="1" applyAlignment="1">
      <alignment horizontal="left" vertical="center"/>
    </xf>
    <xf numFmtId="0" fontId="14" fillId="2" borderId="26" xfId="0" applyFont="1" applyFill="1" applyBorder="1" applyAlignment="1">
      <alignment horizontal="left" vertical="center"/>
    </xf>
    <xf numFmtId="0" fontId="14" fillId="2" borderId="0" xfId="0" applyFont="1" applyFill="1" applyBorder="1" applyAlignment="1">
      <alignment horizontal="left" vertical="center"/>
    </xf>
    <xf numFmtId="0" fontId="14" fillId="2" borderId="30" xfId="0" applyFont="1" applyFill="1" applyBorder="1" applyAlignment="1">
      <alignment horizontal="left" vertical="center"/>
    </xf>
    <xf numFmtId="0" fontId="15" fillId="2" borderId="0" xfId="0" applyFont="1" applyFill="1" applyBorder="1" applyAlignment="1">
      <alignment horizontal="left"/>
    </xf>
    <xf numFmtId="0" fontId="15" fillId="2" borderId="30" xfId="0" applyFont="1" applyFill="1" applyBorder="1" applyAlignment="1">
      <alignment horizontal="left"/>
    </xf>
    <xf numFmtId="164" fontId="27" fillId="8" borderId="23" xfId="0" applyNumberFormat="1" applyFont="1" applyFill="1" applyBorder="1" applyAlignment="1">
      <alignment horizontal="center" vertical="center"/>
    </xf>
    <xf numFmtId="164" fontId="27" fillId="8" borderId="24" xfId="0" applyNumberFormat="1" applyFont="1" applyFill="1" applyBorder="1" applyAlignment="1">
      <alignment horizontal="center" vertical="center"/>
    </xf>
    <xf numFmtId="164" fontId="27" fillId="8" borderId="25"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5" xfId="0" applyFont="1" applyFill="1" applyBorder="1" applyAlignment="1">
      <alignment horizontal="left" vertical="center"/>
    </xf>
    <xf numFmtId="0" fontId="15" fillId="2" borderId="5" xfId="0" applyFont="1" applyFill="1" applyBorder="1" applyAlignment="1">
      <alignment horizontal="left"/>
    </xf>
    <xf numFmtId="0" fontId="15" fillId="2" borderId="7" xfId="0" applyFont="1" applyFill="1" applyBorder="1" applyAlignment="1">
      <alignment horizontal="left" vertical="top"/>
    </xf>
    <xf numFmtId="0" fontId="15" fillId="2" borderId="8" xfId="0" applyFont="1" applyFill="1" applyBorder="1" applyAlignment="1">
      <alignment horizontal="left" vertical="top"/>
    </xf>
    <xf numFmtId="2" fontId="9" fillId="0" borderId="10" xfId="0" applyNumberFormat="1" applyFont="1" applyBorder="1" applyAlignment="1">
      <alignment horizontal="center" vertical="center" wrapText="1"/>
    </xf>
  </cellXfs>
  <cellStyles count="10">
    <cellStyle name="0,0_x000d__x000a_NA_x000d__x000a_" xfId="4"/>
    <cellStyle name="Normal" xfId="0" builtinId="0"/>
    <cellStyle name="Normal 10 2" xfId="7"/>
    <cellStyle name="Normal 11" xfId="2"/>
    <cellStyle name="Normal_Pesquisa no referencial 10 de maio de 2013" xfId="9"/>
    <cellStyle name="Porcentagem" xfId="6" builtinId="5"/>
    <cellStyle name="Separador de milhares 10" xfId="5"/>
    <cellStyle name="Separador de milhares 11" xfId="3"/>
    <cellStyle name="Vírgula" xfId="1" builtinId="3"/>
    <cellStyle name="Vírgula 2" xfId="8"/>
  </cellStyles>
  <dxfs count="64">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33606</xdr:colOff>
      <xdr:row>1</xdr:row>
      <xdr:rowOff>11208</xdr:rowOff>
    </xdr:from>
    <xdr:to>
      <xdr:col>2</xdr:col>
      <xdr:colOff>986118</xdr:colOff>
      <xdr:row>5</xdr:row>
      <xdr:rowOff>104964</xdr:rowOff>
    </xdr:to>
    <xdr:pic>
      <xdr:nvPicPr>
        <xdr:cNvPr id="3" name="Imagem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1"/>
        <a:stretch>
          <a:fillRect/>
        </a:stretch>
      </xdr:blipFill>
      <xdr:spPr bwMode="auto">
        <a:xfrm>
          <a:off x="806812" y="168090"/>
          <a:ext cx="1299894" cy="1012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73668</xdr:colOff>
      <xdr:row>0</xdr:row>
      <xdr:rowOff>99391</xdr:rowOff>
    </xdr:from>
    <xdr:to>
      <xdr:col>1</xdr:col>
      <xdr:colOff>943743</xdr:colOff>
      <xdr:row>6</xdr:row>
      <xdr:rowOff>118116</xdr:rowOff>
    </xdr:to>
    <xdr:pic>
      <xdr:nvPicPr>
        <xdr:cNvPr id="2" name="Imagem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1"/>
        <a:stretch>
          <a:fillRect/>
        </a:stretch>
      </xdr:blipFill>
      <xdr:spPr bwMode="auto">
        <a:xfrm>
          <a:off x="73668" y="99391"/>
          <a:ext cx="1489200" cy="116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73668</xdr:colOff>
      <xdr:row>0</xdr:row>
      <xdr:rowOff>99391</xdr:rowOff>
    </xdr:from>
    <xdr:to>
      <xdr:col>1</xdr:col>
      <xdr:colOff>943743</xdr:colOff>
      <xdr:row>6</xdr:row>
      <xdr:rowOff>118116</xdr:rowOff>
    </xdr:to>
    <xdr:pic>
      <xdr:nvPicPr>
        <xdr:cNvPr id="3" name="Imagem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1"/>
        <a:stretch>
          <a:fillRect/>
        </a:stretch>
      </xdr:blipFill>
      <xdr:spPr bwMode="auto">
        <a:xfrm>
          <a:off x="73668" y="99391"/>
          <a:ext cx="1489200" cy="116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73668</xdr:colOff>
      <xdr:row>0</xdr:row>
      <xdr:rowOff>99391</xdr:rowOff>
    </xdr:from>
    <xdr:to>
      <xdr:col>1</xdr:col>
      <xdr:colOff>943743</xdr:colOff>
      <xdr:row>6</xdr:row>
      <xdr:rowOff>118116</xdr:rowOff>
    </xdr:to>
    <xdr:pic>
      <xdr:nvPicPr>
        <xdr:cNvPr id="4" name="Imagem 3">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1"/>
        <a:stretch>
          <a:fillRect/>
        </a:stretch>
      </xdr:blipFill>
      <xdr:spPr bwMode="auto">
        <a:xfrm>
          <a:off x="73668" y="99391"/>
          <a:ext cx="1489200" cy="116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81642</xdr:colOff>
      <xdr:row>0</xdr:row>
      <xdr:rowOff>68035</xdr:rowOff>
    </xdr:from>
    <xdr:to>
      <xdr:col>1</xdr:col>
      <xdr:colOff>1381536</xdr:colOff>
      <xdr:row>5</xdr:row>
      <xdr:rowOff>60138</xdr:rowOff>
    </xdr:to>
    <xdr:pic>
      <xdr:nvPicPr>
        <xdr:cNvPr id="3" name="Imagem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1"/>
        <a:stretch>
          <a:fillRect/>
        </a:stretch>
      </xdr:blipFill>
      <xdr:spPr bwMode="auto">
        <a:xfrm>
          <a:off x="693963" y="68035"/>
          <a:ext cx="1299894" cy="1012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1985282</xdr:colOff>
      <xdr:row>225</xdr:row>
      <xdr:rowOff>76200</xdr:rowOff>
    </xdr:from>
    <xdr:ext cx="157843" cy="172227"/>
    <mc:AlternateContent xmlns:mc="http://schemas.openxmlformats.org/markup-compatibility/2006" xmlns:a14="http://schemas.microsoft.com/office/drawing/2010/main">
      <mc:Choice Requires="a14">
        <xdr:sp macro="" textlink="">
          <xdr:nvSpPr>
            <xdr:cNvPr id="2" name="CaixaDeTexto 1"/>
            <xdr:cNvSpPr txBox="1"/>
          </xdr:nvSpPr>
          <xdr:spPr>
            <a:xfrm>
              <a:off x="12167507" y="94097475"/>
              <a:ext cx="1578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t-BR" sz="1100" i="1">
                        <a:latin typeface="Cambria Math" panose="02040503050406030204" pitchFamily="18" charset="0"/>
                        <a:ea typeface="Cambria Math" panose="02040503050406030204" pitchFamily="18" charset="0"/>
                      </a:rPr>
                      <m:t>∅</m:t>
                    </m:r>
                  </m:oMath>
                </m:oMathPara>
              </a14:m>
              <a:endParaRPr lang="pt-BR" sz="1100"/>
            </a:p>
          </xdr:txBody>
        </xdr:sp>
      </mc:Choice>
      <mc:Fallback xmlns="">
        <xdr:sp macro="" textlink="">
          <xdr:nvSpPr>
            <xdr:cNvPr id="2" name="CaixaDeTexto 1"/>
            <xdr:cNvSpPr txBox="1"/>
          </xdr:nvSpPr>
          <xdr:spPr>
            <a:xfrm>
              <a:off x="12167507" y="94097475"/>
              <a:ext cx="1578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t-BR" sz="1100" i="0">
                  <a:latin typeface="Cambria Math" panose="02040503050406030204" pitchFamily="18" charset="0"/>
                  <a:ea typeface="Cambria Math" panose="02040503050406030204" pitchFamily="18" charset="0"/>
                </a:rPr>
                <a:t>∅</a:t>
              </a:r>
              <a:endParaRPr lang="pt-BR" sz="11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411956</xdr:colOff>
      <xdr:row>7</xdr:row>
      <xdr:rowOff>95249</xdr:rowOff>
    </xdr:from>
    <xdr:to>
      <xdr:col>10</xdr:col>
      <xdr:colOff>171450</xdr:colOff>
      <xdr:row>27</xdr:row>
      <xdr:rowOff>95250</xdr:rowOff>
    </xdr:to>
    <xdr:pic>
      <xdr:nvPicPr>
        <xdr:cNvPr id="2" name="Imagem 1">
          <a:extLst>
            <a:ext uri="{FF2B5EF4-FFF2-40B4-BE49-F238E27FC236}">
              <a16:creationId xmlns:a16="http://schemas.microsoft.com/office/drawing/2014/main" xmlns="" id="{00000000-0008-0000-0300-000002000000}"/>
            </a:ext>
          </a:extLst>
        </xdr:cNvPr>
        <xdr:cNvPicPr>
          <a:picLocks noChangeAspect="1"/>
        </xdr:cNvPicPr>
      </xdr:nvPicPr>
      <xdr:blipFill rotWithShape="1">
        <a:blip xmlns:r="http://schemas.openxmlformats.org/officeDocument/2006/relationships" r:embed="rId1"/>
        <a:srcRect l="21194" t="31384" r="41301" b="19261"/>
        <a:stretch/>
      </xdr:blipFill>
      <xdr:spPr>
        <a:xfrm>
          <a:off x="411956" y="1323974"/>
          <a:ext cx="5855494" cy="3810001"/>
        </a:xfrm>
        <a:prstGeom prst="rect">
          <a:avLst/>
        </a:prstGeom>
      </xdr:spPr>
    </xdr:pic>
    <xdr:clientData/>
  </xdr:twoCellAnchor>
  <xdr:twoCellAnchor>
    <xdr:from>
      <xdr:col>0</xdr:col>
      <xdr:colOff>0</xdr:colOff>
      <xdr:row>0</xdr:row>
      <xdr:rowOff>66676</xdr:rowOff>
    </xdr:from>
    <xdr:to>
      <xdr:col>2</xdr:col>
      <xdr:colOff>15721</xdr:colOff>
      <xdr:row>5</xdr:row>
      <xdr:rowOff>123825</xdr:rowOff>
    </xdr:to>
    <xdr:pic>
      <xdr:nvPicPr>
        <xdr:cNvPr id="4" name="Imagem 3">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41"/>
        <a:stretch>
          <a:fillRect/>
        </a:stretch>
      </xdr:blipFill>
      <xdr:spPr bwMode="auto">
        <a:xfrm>
          <a:off x="0" y="66676"/>
          <a:ext cx="1234921" cy="962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11206</xdr:colOff>
      <xdr:row>1</xdr:row>
      <xdr:rowOff>56030</xdr:rowOff>
    </xdr:from>
    <xdr:to>
      <xdr:col>3</xdr:col>
      <xdr:colOff>22424</xdr:colOff>
      <xdr:row>6</xdr:row>
      <xdr:rowOff>116169</xdr:rowOff>
    </xdr:to>
    <xdr:pic>
      <xdr:nvPicPr>
        <xdr:cNvPr id="3" name="Imagem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1"/>
        <a:stretch>
          <a:fillRect/>
        </a:stretch>
      </xdr:blipFill>
      <xdr:spPr bwMode="auto">
        <a:xfrm>
          <a:off x="616324" y="257736"/>
          <a:ext cx="1299894" cy="1012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11206</xdr:colOff>
      <xdr:row>1</xdr:row>
      <xdr:rowOff>56030</xdr:rowOff>
    </xdr:from>
    <xdr:to>
      <xdr:col>3</xdr:col>
      <xdr:colOff>22424</xdr:colOff>
      <xdr:row>6</xdr:row>
      <xdr:rowOff>116169</xdr:rowOff>
    </xdr:to>
    <xdr:pic>
      <xdr:nvPicPr>
        <xdr:cNvPr id="4" name="Imagem 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1"/>
        <a:stretch>
          <a:fillRect/>
        </a:stretch>
      </xdr:blipFill>
      <xdr:spPr bwMode="auto">
        <a:xfrm>
          <a:off x="620806" y="256055"/>
          <a:ext cx="1297093" cy="1012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Ramon\PSF%20BARRA%20DE%20CATUAMA\OR&#199;AMENTO%20PSF%20BARRA%20DE%20CATUAMA%20ATT%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mposição"/>
      <sheetName val="Cronograma"/>
      <sheetName val="BDI"/>
      <sheetName val="Memoria de calculo"/>
    </sheetNames>
    <sheetDataSet>
      <sheetData sheetId="0">
        <row r="8">
          <cell r="B8" t="str">
            <v xml:space="preserve">OBJETO: CONSTRUÇÃO E REFORMA DO PSF DE BARRA DE CATUAMA   </v>
          </cell>
        </row>
        <row r="15">
          <cell r="D15" t="str">
            <v>ADMINISTRAÇÃO LOCAL</v>
          </cell>
        </row>
        <row r="18">
          <cell r="D18" t="str">
            <v>SERVIÇOS PRELIMINARES</v>
          </cell>
        </row>
        <row r="31">
          <cell r="D31" t="str">
            <v>ALVENARIA E FUNDAÇÕES</v>
          </cell>
        </row>
        <row r="41">
          <cell r="D41" t="str">
            <v>PINTURA</v>
          </cell>
        </row>
        <row r="48">
          <cell r="D48" t="str">
            <v>ESQUADRIA</v>
          </cell>
        </row>
        <row r="57">
          <cell r="D57" t="str">
            <v>REVESTIMENTOS E PISOS</v>
          </cell>
        </row>
        <row r="77">
          <cell r="D77" t="str">
            <v>INSTALAÇÕES HIDRÁULICAS</v>
          </cell>
        </row>
        <row r="111">
          <cell r="D111" t="str">
            <v>INSTALAÇÕES ELÉTRICAS</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40"/>
  <sheetViews>
    <sheetView topLeftCell="A4" zoomScaleNormal="100" workbookViewId="0">
      <selection activeCell="N135" sqref="N135"/>
    </sheetView>
  </sheetViews>
  <sheetFormatPr defaultColWidth="11.5703125" defaultRowHeight="12" x14ac:dyDescent="0.25"/>
  <cols>
    <col min="1" max="1" width="11.5703125" style="10"/>
    <col min="2" max="2" width="5.85546875" style="10" bestFit="1" customWidth="1"/>
    <col min="3" max="3" width="15.140625" style="10" customWidth="1"/>
    <col min="4" max="4" width="46" style="10" customWidth="1"/>
    <col min="5" max="5" width="6" style="10" customWidth="1"/>
    <col min="6" max="6" width="10.140625" style="11" bestFit="1" customWidth="1"/>
    <col min="7" max="7" width="10" style="11" customWidth="1"/>
    <col min="8" max="8" width="17" style="12" customWidth="1"/>
    <col min="9" max="11" width="11.5703125" style="10" hidden="1" customWidth="1"/>
    <col min="12" max="12" width="18.28515625" style="10" hidden="1" customWidth="1"/>
    <col min="13" max="13" width="11.5703125" style="10" hidden="1" customWidth="1"/>
    <col min="14" max="14" width="11.5703125" style="10" customWidth="1"/>
    <col min="15" max="16" width="11.5703125" style="10" hidden="1" customWidth="1"/>
    <col min="17" max="27" width="11.5703125" style="10" customWidth="1"/>
    <col min="28" max="16384" width="11.5703125" style="10"/>
  </cols>
  <sheetData>
    <row r="1" spans="1:21" ht="12.75" thickBot="1" x14ac:dyDescent="0.3">
      <c r="A1" s="114"/>
      <c r="H1" s="90"/>
    </row>
    <row r="2" spans="1:21" ht="24.95" customHeight="1" x14ac:dyDescent="0.25">
      <c r="A2" s="114"/>
      <c r="B2" s="336"/>
      <c r="C2" s="337"/>
      <c r="D2" s="354" t="s">
        <v>96</v>
      </c>
      <c r="E2" s="355"/>
      <c r="F2" s="355"/>
      <c r="G2" s="355"/>
      <c r="H2" s="356"/>
      <c r="I2" s="100"/>
      <c r="J2" s="100"/>
      <c r="K2" s="100"/>
      <c r="L2" s="100"/>
      <c r="M2" s="100"/>
      <c r="N2" s="100"/>
      <c r="O2" s="100"/>
    </row>
    <row r="3" spans="1:21" ht="24.95" customHeight="1" x14ac:dyDescent="0.25">
      <c r="A3" s="114"/>
      <c r="B3" s="338"/>
      <c r="C3" s="339"/>
      <c r="D3" s="357"/>
      <c r="E3" s="358"/>
      <c r="F3" s="358"/>
      <c r="G3" s="358"/>
      <c r="H3" s="359"/>
      <c r="I3" s="100"/>
      <c r="J3" s="100"/>
      <c r="K3" s="100"/>
      <c r="L3" s="100"/>
      <c r="M3" s="100"/>
      <c r="N3" s="100"/>
      <c r="O3" s="100"/>
    </row>
    <row r="4" spans="1:21" ht="21" customHeight="1" x14ac:dyDescent="0.25">
      <c r="A4" s="114"/>
      <c r="B4" s="338"/>
      <c r="C4" s="339"/>
      <c r="D4" s="357"/>
      <c r="E4" s="358"/>
      <c r="F4" s="358"/>
      <c r="G4" s="358"/>
      <c r="H4" s="359"/>
      <c r="I4" s="100"/>
      <c r="J4" s="100"/>
      <c r="K4" s="100"/>
      <c r="L4" s="100"/>
      <c r="M4" s="100"/>
      <c r="N4" s="100"/>
      <c r="O4" s="100"/>
    </row>
    <row r="5" spans="1:21" ht="1.5" customHeight="1" x14ac:dyDescent="0.25">
      <c r="A5" s="114"/>
      <c r="B5" s="338"/>
      <c r="C5" s="339"/>
      <c r="D5" s="357"/>
      <c r="E5" s="358"/>
      <c r="F5" s="358"/>
      <c r="G5" s="358"/>
      <c r="H5" s="359"/>
      <c r="I5" s="100"/>
      <c r="J5" s="100"/>
      <c r="K5" s="100"/>
      <c r="L5" s="100"/>
      <c r="M5" s="100"/>
      <c r="N5" s="100"/>
      <c r="O5" s="100"/>
    </row>
    <row r="6" spans="1:21" ht="9.9499999999999993" customHeight="1" thickBot="1" x14ac:dyDescent="0.3">
      <c r="A6" s="114"/>
      <c r="B6" s="340"/>
      <c r="C6" s="341"/>
      <c r="D6" s="360"/>
      <c r="E6" s="361"/>
      <c r="F6" s="361"/>
      <c r="G6" s="361"/>
      <c r="H6" s="362"/>
      <c r="I6" s="100"/>
      <c r="J6" s="100"/>
      <c r="K6" s="100"/>
      <c r="L6" s="100"/>
      <c r="M6" s="100"/>
      <c r="N6" s="100"/>
      <c r="O6" s="100"/>
      <c r="P6" s="100"/>
      <c r="Q6" s="100"/>
      <c r="R6" s="100"/>
      <c r="S6" s="100"/>
      <c r="T6" s="100"/>
      <c r="U6" s="100"/>
    </row>
    <row r="7" spans="1:21" ht="15" customHeight="1" thickBot="1" x14ac:dyDescent="0.3">
      <c r="A7" s="114"/>
      <c r="B7" s="348" t="s">
        <v>1</v>
      </c>
      <c r="C7" s="349"/>
      <c r="D7" s="349"/>
      <c r="E7" s="349"/>
      <c r="F7" s="349"/>
      <c r="G7" s="349"/>
      <c r="H7" s="350"/>
      <c r="I7" s="100"/>
      <c r="J7" s="100"/>
      <c r="K7" s="100"/>
      <c r="L7" s="100"/>
      <c r="M7" s="100"/>
      <c r="N7" s="100"/>
      <c r="O7" s="100"/>
      <c r="P7" s="100"/>
      <c r="Q7" s="100"/>
      <c r="R7" s="100"/>
      <c r="S7" s="100"/>
      <c r="T7" s="100"/>
      <c r="U7" s="100"/>
    </row>
    <row r="8" spans="1:21" ht="15" customHeight="1" x14ac:dyDescent="0.25">
      <c r="A8" s="114"/>
      <c r="B8" s="351" t="s">
        <v>493</v>
      </c>
      <c r="C8" s="352"/>
      <c r="D8" s="352"/>
      <c r="E8" s="352"/>
      <c r="F8" s="352"/>
      <c r="G8" s="352"/>
      <c r="H8" s="353"/>
      <c r="I8" s="100"/>
      <c r="J8" s="93"/>
      <c r="K8" s="93"/>
      <c r="L8" s="100"/>
      <c r="M8" s="100"/>
      <c r="N8" s="100"/>
      <c r="O8" s="100"/>
      <c r="P8" s="100"/>
      <c r="Q8" s="100"/>
      <c r="R8" s="100"/>
      <c r="S8" s="100"/>
      <c r="T8" s="100"/>
      <c r="U8" s="100"/>
    </row>
    <row r="9" spans="1:21" ht="12.75" x14ac:dyDescent="0.25">
      <c r="A9" s="114"/>
      <c r="B9" s="345" t="s">
        <v>494</v>
      </c>
      <c r="C9" s="346"/>
      <c r="D9" s="346"/>
      <c r="E9" s="346"/>
      <c r="F9" s="346"/>
      <c r="G9" s="346"/>
      <c r="H9" s="347"/>
      <c r="I9" s="100"/>
      <c r="J9" s="103"/>
      <c r="K9" s="103"/>
      <c r="L9" s="100"/>
      <c r="M9" s="100"/>
      <c r="N9" s="100"/>
      <c r="O9" s="100"/>
      <c r="P9" s="100"/>
      <c r="Q9" s="100"/>
      <c r="R9" s="100"/>
      <c r="S9" s="100"/>
      <c r="T9" s="100"/>
      <c r="U9" s="100"/>
    </row>
    <row r="10" spans="1:21" ht="12.75" x14ac:dyDescent="0.25">
      <c r="A10" s="114"/>
      <c r="B10" s="345" t="s">
        <v>495</v>
      </c>
      <c r="C10" s="346"/>
      <c r="D10" s="346"/>
      <c r="E10" s="346"/>
      <c r="F10" s="346"/>
      <c r="G10" s="346"/>
      <c r="H10" s="347"/>
      <c r="I10" s="100"/>
      <c r="J10" s="100"/>
      <c r="K10" s="100"/>
      <c r="L10" s="100"/>
      <c r="M10" s="100"/>
      <c r="N10" s="100"/>
      <c r="O10" s="100"/>
      <c r="P10" s="100"/>
      <c r="Q10" s="100"/>
      <c r="R10" s="100"/>
      <c r="S10" s="100"/>
      <c r="T10" s="100"/>
      <c r="U10" s="100"/>
    </row>
    <row r="11" spans="1:21" ht="12.75" x14ac:dyDescent="0.25">
      <c r="A11" s="114"/>
      <c r="B11" s="345" t="s">
        <v>497</v>
      </c>
      <c r="C11" s="346"/>
      <c r="D11" s="346"/>
      <c r="E11" s="346"/>
      <c r="F11" s="346"/>
      <c r="G11" s="346"/>
      <c r="H11" s="347"/>
      <c r="I11" s="100"/>
      <c r="J11" s="100"/>
      <c r="K11" s="100"/>
    </row>
    <row r="12" spans="1:21" ht="15" customHeight="1" x14ac:dyDescent="0.25">
      <c r="A12" s="114"/>
      <c r="B12" s="342" t="s">
        <v>2</v>
      </c>
      <c r="C12" s="343"/>
      <c r="D12" s="343"/>
      <c r="E12" s="343"/>
      <c r="F12" s="343"/>
      <c r="G12" s="343"/>
      <c r="H12" s="344"/>
      <c r="I12" s="100"/>
      <c r="J12" s="100"/>
      <c r="K12" s="100"/>
    </row>
    <row r="13" spans="1:21" ht="12.75" x14ac:dyDescent="0.25">
      <c r="A13" s="114"/>
      <c r="B13" s="104"/>
      <c r="C13" s="85"/>
      <c r="D13" s="85"/>
      <c r="E13" s="6"/>
      <c r="F13" s="20"/>
      <c r="G13" s="105"/>
      <c r="H13" s="86"/>
      <c r="I13" s="100"/>
      <c r="J13" s="100"/>
      <c r="K13" s="100"/>
    </row>
    <row r="14" spans="1:21" s="92" customFormat="1" ht="38.25" x14ac:dyDescent="0.25">
      <c r="A14" s="133"/>
      <c r="B14" s="191" t="s">
        <v>3</v>
      </c>
      <c r="C14" s="106" t="s">
        <v>81</v>
      </c>
      <c r="D14" s="106" t="s">
        <v>4</v>
      </c>
      <c r="E14" s="107" t="s">
        <v>50</v>
      </c>
      <c r="F14" s="108" t="s">
        <v>5</v>
      </c>
      <c r="G14" s="109" t="s">
        <v>6</v>
      </c>
      <c r="H14" s="110" t="s">
        <v>82</v>
      </c>
      <c r="I14" s="93"/>
      <c r="J14" s="94"/>
      <c r="K14" s="93"/>
    </row>
    <row r="15" spans="1:21" s="92" customFormat="1" ht="12.75" x14ac:dyDescent="0.25">
      <c r="A15" s="133"/>
      <c r="B15" s="157" t="s">
        <v>43</v>
      </c>
      <c r="C15" s="158"/>
      <c r="D15" s="158" t="s">
        <v>107</v>
      </c>
      <c r="E15" s="159"/>
      <c r="F15" s="160"/>
      <c r="G15" s="161"/>
      <c r="H15" s="156">
        <f>SUM(H16:H18)</f>
        <v>153110.39999999999</v>
      </c>
      <c r="I15" s="313"/>
      <c r="J15" s="314"/>
      <c r="K15" s="314"/>
      <c r="M15" s="326">
        <f>H15/H131</f>
        <v>6.7557620706501828E-2</v>
      </c>
    </row>
    <row r="16" spans="1:21" s="92" customFormat="1" ht="25.5" x14ac:dyDescent="0.25">
      <c r="A16" s="133"/>
      <c r="B16" s="104" t="s">
        <v>44</v>
      </c>
      <c r="C16" s="17" t="s">
        <v>108</v>
      </c>
      <c r="D16" s="17" t="s">
        <v>109</v>
      </c>
      <c r="E16" s="6" t="s">
        <v>52</v>
      </c>
      <c r="F16" s="20">
        <v>960</v>
      </c>
      <c r="G16" s="162">
        <v>92.87</v>
      </c>
      <c r="H16" s="86">
        <f>ROUND(G16*F16,2)</f>
        <v>89155.199999999997</v>
      </c>
      <c r="I16" s="111">
        <v>73.489999999999995</v>
      </c>
      <c r="J16" s="93">
        <f t="shared" ref="J16:J20" si="0">ROUND(I16*1.2637,2)</f>
        <v>92.87</v>
      </c>
      <c r="K16" s="93"/>
    </row>
    <row r="17" spans="1:130" s="92" customFormat="1" ht="25.5" x14ac:dyDescent="0.25">
      <c r="A17" s="133"/>
      <c r="B17" s="104" t="s">
        <v>45</v>
      </c>
      <c r="C17" s="17" t="s">
        <v>110</v>
      </c>
      <c r="D17" s="17" t="s">
        <v>111</v>
      </c>
      <c r="E17" s="6" t="s">
        <v>52</v>
      </c>
      <c r="F17" s="20">
        <v>960</v>
      </c>
      <c r="G17" s="162">
        <v>42.85</v>
      </c>
      <c r="H17" s="86">
        <f>ROUND(G17*F17,2)</f>
        <v>41136</v>
      </c>
      <c r="I17" s="111">
        <v>33.909999999999997</v>
      </c>
      <c r="J17" s="93">
        <f t="shared" si="0"/>
        <v>42.85</v>
      </c>
      <c r="K17" s="93"/>
    </row>
    <row r="18" spans="1:130" s="92" customFormat="1" ht="25.5" x14ac:dyDescent="0.25">
      <c r="A18" s="133"/>
      <c r="B18" s="104" t="s">
        <v>374</v>
      </c>
      <c r="C18" s="17" t="s">
        <v>375</v>
      </c>
      <c r="D18" s="17" t="s">
        <v>373</v>
      </c>
      <c r="E18" s="6" t="s">
        <v>52</v>
      </c>
      <c r="F18" s="20">
        <v>960</v>
      </c>
      <c r="G18" s="162">
        <f>J18</f>
        <v>23.77</v>
      </c>
      <c r="H18" s="86">
        <f>ROUND(G18*F18,2)</f>
        <v>22819.200000000001</v>
      </c>
      <c r="I18" s="111">
        <v>18.809999999999999</v>
      </c>
      <c r="J18" s="249">
        <f t="shared" si="0"/>
        <v>23.77</v>
      </c>
      <c r="K18" s="249"/>
    </row>
    <row r="19" spans="1:130" s="92" customFormat="1" ht="12.75" x14ac:dyDescent="0.25">
      <c r="A19" s="133"/>
      <c r="B19" s="163" t="s">
        <v>12</v>
      </c>
      <c r="C19" s="164"/>
      <c r="D19" s="165" t="s">
        <v>199</v>
      </c>
      <c r="E19" s="1" t="s">
        <v>9</v>
      </c>
      <c r="F19" s="166"/>
      <c r="G19" s="21"/>
      <c r="H19" s="167">
        <f>ROUND(SUM(H20:H27),2)</f>
        <v>59517.73</v>
      </c>
      <c r="I19" s="313"/>
      <c r="J19" s="314"/>
      <c r="K19" s="314"/>
    </row>
    <row r="20" spans="1:130" s="92" customFormat="1" ht="25.5" x14ac:dyDescent="0.25">
      <c r="A20" s="133"/>
      <c r="B20" s="269" t="s">
        <v>14</v>
      </c>
      <c r="C20" s="263" t="s">
        <v>34</v>
      </c>
      <c r="D20" s="263" t="s">
        <v>10</v>
      </c>
      <c r="E20" s="15" t="s">
        <v>86</v>
      </c>
      <c r="F20" s="270">
        <v>6</v>
      </c>
      <c r="G20" s="22">
        <f>J20</f>
        <v>474.81</v>
      </c>
      <c r="H20" s="271">
        <f>ROUND(G20*F20,2)</f>
        <v>2848.86</v>
      </c>
      <c r="I20" s="111">
        <v>375.73</v>
      </c>
      <c r="J20" s="93">
        <f t="shared" si="0"/>
        <v>474.81</v>
      </c>
      <c r="K20" s="95"/>
    </row>
    <row r="21" spans="1:130" s="92" customFormat="1" ht="25.5" x14ac:dyDescent="0.25">
      <c r="A21" s="133"/>
      <c r="B21" s="269" t="s">
        <v>15</v>
      </c>
      <c r="C21" s="263" t="s">
        <v>123</v>
      </c>
      <c r="D21" s="272" t="s">
        <v>124</v>
      </c>
      <c r="E21" s="15" t="s">
        <v>86</v>
      </c>
      <c r="F21" s="245">
        <v>2281.1799999999998</v>
      </c>
      <c r="G21" s="22">
        <v>1.48</v>
      </c>
      <c r="H21" s="271">
        <f t="shared" ref="H21:H27" si="1">ROUND(G21*F21,2)</f>
        <v>3376.15</v>
      </c>
      <c r="I21" s="111">
        <v>1.17</v>
      </c>
      <c r="J21" s="93">
        <f t="shared" ref="J21:J157" si="2">ROUND(I21*1.2637,2)</f>
        <v>1.48</v>
      </c>
      <c r="K21" s="95"/>
    </row>
    <row r="22" spans="1:130" s="92" customFormat="1" ht="26.25" thickBot="1" x14ac:dyDescent="0.3">
      <c r="A22" s="133"/>
      <c r="B22" s="269" t="s">
        <v>16</v>
      </c>
      <c r="C22" s="273" t="s">
        <v>201</v>
      </c>
      <c r="D22" s="272" t="s">
        <v>200</v>
      </c>
      <c r="E22" s="15" t="s">
        <v>86</v>
      </c>
      <c r="F22" s="245">
        <v>372.12</v>
      </c>
      <c r="G22" s="22">
        <f t="shared" ref="G22:G27" si="3">J22</f>
        <v>63.72</v>
      </c>
      <c r="H22" s="271">
        <f t="shared" si="1"/>
        <v>23711.49</v>
      </c>
      <c r="I22" s="111">
        <v>50.42</v>
      </c>
      <c r="J22" s="93">
        <f t="shared" si="2"/>
        <v>63.72</v>
      </c>
      <c r="K22" s="95"/>
    </row>
    <row r="23" spans="1:130" s="113" customFormat="1" ht="51" customHeight="1" thickBot="1" x14ac:dyDescent="0.3">
      <c r="A23" s="100"/>
      <c r="B23" s="269" t="s">
        <v>17</v>
      </c>
      <c r="C23" s="273" t="s">
        <v>203</v>
      </c>
      <c r="D23" s="272" t="s">
        <v>202</v>
      </c>
      <c r="E23" s="15" t="s">
        <v>50</v>
      </c>
      <c r="F23" s="245">
        <v>1</v>
      </c>
      <c r="G23" s="22">
        <f t="shared" si="3"/>
        <v>1718.97</v>
      </c>
      <c r="H23" s="271">
        <f t="shared" si="1"/>
        <v>1718.97</v>
      </c>
      <c r="I23" s="112">
        <v>1360.27</v>
      </c>
      <c r="J23" s="93">
        <f t="shared" si="2"/>
        <v>1718.97</v>
      </c>
      <c r="K23" s="100"/>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row>
    <row r="24" spans="1:130" s="114" customFormat="1" ht="51" x14ac:dyDescent="0.25">
      <c r="B24" s="269" t="s">
        <v>18</v>
      </c>
      <c r="C24" s="274" t="s">
        <v>215</v>
      </c>
      <c r="D24" s="274" t="s">
        <v>204</v>
      </c>
      <c r="E24" s="15" t="s">
        <v>86</v>
      </c>
      <c r="F24" s="265">
        <v>30</v>
      </c>
      <c r="G24" s="22">
        <f t="shared" si="3"/>
        <v>459.61</v>
      </c>
      <c r="H24" s="271">
        <f t="shared" si="1"/>
        <v>13788.3</v>
      </c>
      <c r="I24" s="116">
        <v>363.7</v>
      </c>
      <c r="J24" s="93">
        <f t="shared" si="2"/>
        <v>459.61</v>
      </c>
      <c r="K24" s="98"/>
    </row>
    <row r="25" spans="1:130" s="114" customFormat="1" ht="63.75" x14ac:dyDescent="0.25">
      <c r="B25" s="269" t="s">
        <v>98</v>
      </c>
      <c r="C25" s="274" t="s">
        <v>215</v>
      </c>
      <c r="D25" s="263" t="s">
        <v>216</v>
      </c>
      <c r="E25" s="15" t="s">
        <v>86</v>
      </c>
      <c r="F25" s="265">
        <v>30</v>
      </c>
      <c r="G25" s="22">
        <f t="shared" si="3"/>
        <v>459.61</v>
      </c>
      <c r="H25" s="271">
        <f t="shared" si="1"/>
        <v>13788.3</v>
      </c>
      <c r="I25" s="116">
        <v>363.7</v>
      </c>
      <c r="J25" s="93">
        <f t="shared" si="2"/>
        <v>459.61</v>
      </c>
      <c r="K25" s="98"/>
    </row>
    <row r="26" spans="1:130" s="114" customFormat="1" ht="38.25" x14ac:dyDescent="0.25">
      <c r="B26" s="269" t="s">
        <v>98</v>
      </c>
      <c r="C26" s="263" t="s">
        <v>46</v>
      </c>
      <c r="D26" s="263" t="s">
        <v>11</v>
      </c>
      <c r="E26" s="15" t="s">
        <v>87</v>
      </c>
      <c r="F26" s="265">
        <v>6</v>
      </c>
      <c r="G26" s="22">
        <f t="shared" si="3"/>
        <v>8.0399999999999991</v>
      </c>
      <c r="H26" s="271">
        <f t="shared" si="1"/>
        <v>48.24</v>
      </c>
      <c r="I26" s="116">
        <v>6.36</v>
      </c>
      <c r="J26" s="93">
        <f t="shared" si="2"/>
        <v>8.0399999999999991</v>
      </c>
      <c r="K26" s="98"/>
    </row>
    <row r="27" spans="1:130" s="114" customFormat="1" ht="51" x14ac:dyDescent="0.25">
      <c r="B27" s="269" t="s">
        <v>112</v>
      </c>
      <c r="C27" s="18" t="s">
        <v>197</v>
      </c>
      <c r="D27" s="263" t="s">
        <v>198</v>
      </c>
      <c r="E27" s="15" t="s">
        <v>87</v>
      </c>
      <c r="F27" s="265">
        <v>6</v>
      </c>
      <c r="G27" s="22">
        <f t="shared" si="3"/>
        <v>39.57</v>
      </c>
      <c r="H27" s="271">
        <f t="shared" si="1"/>
        <v>237.42</v>
      </c>
      <c r="I27" s="116">
        <v>31.31</v>
      </c>
      <c r="J27" s="93">
        <f t="shared" si="2"/>
        <v>39.57</v>
      </c>
      <c r="K27" s="98"/>
    </row>
    <row r="28" spans="1:130" s="114" customFormat="1" ht="12.75" x14ac:dyDescent="0.25">
      <c r="B28" s="155" t="s">
        <v>19</v>
      </c>
      <c r="C28" s="79"/>
      <c r="D28" s="80" t="s">
        <v>145</v>
      </c>
      <c r="E28" s="139" t="s">
        <v>9</v>
      </c>
      <c r="F28" s="89"/>
      <c r="G28" s="154"/>
      <c r="H28" s="156">
        <f>ROUND(SUM(H29:H36),2)</f>
        <v>619564.61</v>
      </c>
      <c r="I28" s="315"/>
      <c r="J28" s="314"/>
      <c r="K28" s="316"/>
    </row>
    <row r="29" spans="1:130" s="114" customFormat="1" ht="76.5" x14ac:dyDescent="0.25">
      <c r="A29" s="168"/>
      <c r="B29" s="262" t="s">
        <v>21</v>
      </c>
      <c r="C29" s="9" t="s">
        <v>125</v>
      </c>
      <c r="D29" s="18" t="s">
        <v>126</v>
      </c>
      <c r="E29" s="15" t="s">
        <v>86</v>
      </c>
      <c r="F29" s="8">
        <v>2066.48</v>
      </c>
      <c r="G29" s="22">
        <v>73.19</v>
      </c>
      <c r="H29" s="248">
        <f t="shared" ref="H29:H36" si="4">ROUND(G29*F29,2)</f>
        <v>151245.67000000001</v>
      </c>
      <c r="I29" s="116">
        <v>57.92</v>
      </c>
      <c r="J29" s="93">
        <f t="shared" si="2"/>
        <v>73.19</v>
      </c>
      <c r="K29" s="98"/>
      <c r="L29" s="114">
        <v>12.41</v>
      </c>
      <c r="M29" s="114">
        <v>188.77</v>
      </c>
      <c r="O29" s="114">
        <f>ROUND(M29*1.2637,2)</f>
        <v>238.55</v>
      </c>
      <c r="P29" s="114">
        <f>O29*L29</f>
        <v>2960.4055000000003</v>
      </c>
    </row>
    <row r="30" spans="1:130" s="114" customFormat="1" ht="38.25" x14ac:dyDescent="0.25">
      <c r="A30" s="168"/>
      <c r="B30" s="262" t="s">
        <v>22</v>
      </c>
      <c r="C30" s="246" t="s">
        <v>101</v>
      </c>
      <c r="D30" s="255" t="s">
        <v>102</v>
      </c>
      <c r="E30" s="15" t="s">
        <v>86</v>
      </c>
      <c r="F30" s="245">
        <v>162.79</v>
      </c>
      <c r="G30" s="22">
        <v>25.24</v>
      </c>
      <c r="H30" s="248">
        <f t="shared" si="4"/>
        <v>4108.82</v>
      </c>
      <c r="I30" s="116">
        <v>103.62</v>
      </c>
      <c r="J30" s="93">
        <f t="shared" si="2"/>
        <v>130.94</v>
      </c>
      <c r="K30" s="98"/>
      <c r="L30" s="325">
        <f>F29/3</f>
        <v>688.82666666666671</v>
      </c>
      <c r="M30" s="325">
        <f>L30-149.38</f>
        <v>539.44666666666672</v>
      </c>
    </row>
    <row r="31" spans="1:130" s="114" customFormat="1" ht="38.25" x14ac:dyDescent="0.25">
      <c r="A31" s="168"/>
      <c r="B31" s="262" t="s">
        <v>83</v>
      </c>
      <c r="C31" s="246" t="s">
        <v>276</v>
      </c>
      <c r="D31" s="18" t="s">
        <v>211</v>
      </c>
      <c r="E31" s="15" t="s">
        <v>87</v>
      </c>
      <c r="F31" s="245">
        <v>230.95</v>
      </c>
      <c r="G31" s="22">
        <f>J37</f>
        <v>73.38</v>
      </c>
      <c r="H31" s="248">
        <f t="shared" si="4"/>
        <v>16947.11</v>
      </c>
      <c r="I31" s="116">
        <v>209.02</v>
      </c>
      <c r="J31" s="93">
        <f t="shared" si="2"/>
        <v>264.14</v>
      </c>
      <c r="K31" s="98"/>
      <c r="L31" s="114">
        <f>M30*3</f>
        <v>1618.3400000000001</v>
      </c>
    </row>
    <row r="32" spans="1:130" s="114" customFormat="1" ht="38.25" x14ac:dyDescent="0.25">
      <c r="A32" s="168"/>
      <c r="B32" s="262" t="s">
        <v>146</v>
      </c>
      <c r="C32" s="246" t="s">
        <v>258</v>
      </c>
      <c r="D32" s="18" t="s">
        <v>271</v>
      </c>
      <c r="E32" s="15" t="s">
        <v>86</v>
      </c>
      <c r="F32" s="245">
        <v>857.39</v>
      </c>
      <c r="G32" s="22">
        <f>J40</f>
        <v>10.87</v>
      </c>
      <c r="H32" s="248">
        <f t="shared" si="4"/>
        <v>9319.83</v>
      </c>
      <c r="I32" s="116">
        <v>431.26</v>
      </c>
      <c r="J32" s="93">
        <f t="shared" si="2"/>
        <v>544.98</v>
      </c>
      <c r="K32" s="98"/>
      <c r="L32" s="114">
        <f>149.38*5</f>
        <v>746.9</v>
      </c>
    </row>
    <row r="33" spans="1:12" s="114" customFormat="1" ht="38.25" x14ac:dyDescent="0.25">
      <c r="A33" s="168"/>
      <c r="B33" s="262" t="s">
        <v>158</v>
      </c>
      <c r="C33" s="246" t="s">
        <v>480</v>
      </c>
      <c r="D33" s="18" t="s">
        <v>278</v>
      </c>
      <c r="E33" s="15" t="s">
        <v>87</v>
      </c>
      <c r="F33" s="245">
        <v>172</v>
      </c>
      <c r="G33" s="22">
        <f>J42</f>
        <v>44.82</v>
      </c>
      <c r="H33" s="248">
        <f t="shared" si="4"/>
        <v>7709.04</v>
      </c>
      <c r="I33" s="116">
        <v>95.16</v>
      </c>
      <c r="J33" s="93">
        <f t="shared" si="2"/>
        <v>120.25</v>
      </c>
      <c r="K33" s="98"/>
      <c r="L33" s="114">
        <f>L31+L32</f>
        <v>2365.2400000000002</v>
      </c>
    </row>
    <row r="34" spans="1:12" s="114" customFormat="1" ht="76.5" x14ac:dyDescent="0.25">
      <c r="A34" s="168"/>
      <c r="B34" s="262" t="s">
        <v>147</v>
      </c>
      <c r="C34" s="263" t="s">
        <v>445</v>
      </c>
      <c r="D34" s="18" t="s">
        <v>448</v>
      </c>
      <c r="E34" s="15" t="s">
        <v>87</v>
      </c>
      <c r="F34" s="245">
        <v>23.49</v>
      </c>
      <c r="G34" s="22">
        <v>2066.0100000000002</v>
      </c>
      <c r="H34" s="248">
        <f t="shared" si="4"/>
        <v>48530.57</v>
      </c>
      <c r="I34" s="116">
        <v>6.03</v>
      </c>
      <c r="J34" s="93">
        <f t="shared" si="2"/>
        <v>7.62</v>
      </c>
      <c r="K34" s="98"/>
    </row>
    <row r="35" spans="1:12" s="114" customFormat="1" ht="63.75" x14ac:dyDescent="0.25">
      <c r="A35" s="168"/>
      <c r="B35" s="262" t="s">
        <v>148</v>
      </c>
      <c r="C35" s="263" t="s">
        <v>446</v>
      </c>
      <c r="D35" s="18" t="s">
        <v>449</v>
      </c>
      <c r="E35" s="15" t="s">
        <v>87</v>
      </c>
      <c r="F35" s="245">
        <v>102.66</v>
      </c>
      <c r="G35" s="22">
        <v>3081.9</v>
      </c>
      <c r="H35" s="248">
        <f t="shared" si="4"/>
        <v>316387.84999999998</v>
      </c>
      <c r="I35" s="116">
        <v>19.97</v>
      </c>
      <c r="J35" s="93">
        <f>ROUND(I35*1.2637,2)</f>
        <v>25.24</v>
      </c>
      <c r="K35" s="98"/>
    </row>
    <row r="36" spans="1:12" s="114" customFormat="1" ht="63.75" x14ac:dyDescent="0.25">
      <c r="B36" s="262" t="s">
        <v>149</v>
      </c>
      <c r="C36" s="263" t="s">
        <v>447</v>
      </c>
      <c r="D36" s="18" t="s">
        <v>450</v>
      </c>
      <c r="E36" s="15" t="s">
        <v>87</v>
      </c>
      <c r="F36" s="245">
        <v>18.23</v>
      </c>
      <c r="G36" s="22">
        <v>3582.87</v>
      </c>
      <c r="H36" s="248">
        <f t="shared" si="4"/>
        <v>65315.72</v>
      </c>
      <c r="I36" s="116">
        <v>513.80999999999995</v>
      </c>
      <c r="J36" s="93">
        <f t="shared" si="2"/>
        <v>649.29999999999995</v>
      </c>
      <c r="K36" s="98"/>
    </row>
    <row r="37" spans="1:12" s="114" customFormat="1" ht="12.75" x14ac:dyDescent="0.25">
      <c r="B37" s="155" t="s">
        <v>23</v>
      </c>
      <c r="C37" s="137"/>
      <c r="D37" s="138" t="s">
        <v>13</v>
      </c>
      <c r="E37" s="139" t="s">
        <v>9</v>
      </c>
      <c r="F37" s="89"/>
      <c r="G37" s="154"/>
      <c r="H37" s="156">
        <f>SUM(H38:H41)</f>
        <v>95520.01999999999</v>
      </c>
      <c r="I37" s="315">
        <v>58.07</v>
      </c>
      <c r="J37" s="314">
        <f t="shared" si="2"/>
        <v>73.38</v>
      </c>
      <c r="K37" s="316"/>
    </row>
    <row r="38" spans="1:12" s="114" customFormat="1" ht="63.75" x14ac:dyDescent="0.25">
      <c r="B38" s="262" t="s">
        <v>24</v>
      </c>
      <c r="C38" s="263" t="s">
        <v>282</v>
      </c>
      <c r="D38" s="263" t="s">
        <v>283</v>
      </c>
      <c r="E38" s="264" t="s">
        <v>86</v>
      </c>
      <c r="F38" s="265">
        <v>1772.72</v>
      </c>
      <c r="G38" s="266">
        <v>30.19</v>
      </c>
      <c r="H38" s="267">
        <f>ROUND(F38*G38,2)</f>
        <v>53518.42</v>
      </c>
      <c r="I38" s="116">
        <v>8.1999999999999993</v>
      </c>
      <c r="J38" s="93">
        <f t="shared" si="2"/>
        <v>10.36</v>
      </c>
      <c r="K38" s="98"/>
    </row>
    <row r="39" spans="1:12" s="114" customFormat="1" ht="63.75" x14ac:dyDescent="0.25">
      <c r="B39" s="262" t="s">
        <v>85</v>
      </c>
      <c r="C39" s="263" t="s">
        <v>284</v>
      </c>
      <c r="D39" s="18" t="s">
        <v>285</v>
      </c>
      <c r="E39" s="264" t="s">
        <v>86</v>
      </c>
      <c r="F39" s="265">
        <v>788.67</v>
      </c>
      <c r="G39" s="268">
        <v>40.07</v>
      </c>
      <c r="H39" s="267">
        <f>ROUND(F39*G39,2)</f>
        <v>31602.01</v>
      </c>
      <c r="I39" s="116">
        <v>9.24</v>
      </c>
      <c r="J39" s="93">
        <f t="shared" si="2"/>
        <v>11.68</v>
      </c>
      <c r="K39" s="98"/>
    </row>
    <row r="40" spans="1:12" s="114" customFormat="1" ht="127.5" x14ac:dyDescent="0.25">
      <c r="B40" s="262" t="s">
        <v>407</v>
      </c>
      <c r="C40" s="263" t="s">
        <v>405</v>
      </c>
      <c r="D40" s="18" t="s">
        <v>403</v>
      </c>
      <c r="E40" s="264" t="s">
        <v>88</v>
      </c>
      <c r="F40" s="265">
        <v>202.8</v>
      </c>
      <c r="G40" s="268">
        <f>J57</f>
        <v>15.87</v>
      </c>
      <c r="H40" s="267">
        <f>ROUND(F40*G40,2)</f>
        <v>3218.44</v>
      </c>
      <c r="I40" s="116">
        <v>8.6</v>
      </c>
      <c r="J40" s="93">
        <f t="shared" si="2"/>
        <v>10.87</v>
      </c>
      <c r="K40" s="98"/>
    </row>
    <row r="41" spans="1:12" s="114" customFormat="1" ht="114.75" x14ac:dyDescent="0.25">
      <c r="B41" s="262" t="s">
        <v>408</v>
      </c>
      <c r="C41" s="263" t="s">
        <v>404</v>
      </c>
      <c r="D41" s="18" t="s">
        <v>406</v>
      </c>
      <c r="E41" s="264" t="s">
        <v>88</v>
      </c>
      <c r="F41" s="265">
        <v>202.8</v>
      </c>
      <c r="G41" s="268">
        <f>J58</f>
        <v>35.409999999999997</v>
      </c>
      <c r="H41" s="267">
        <f>ROUND(F41*G41,2)</f>
        <v>7181.15</v>
      </c>
      <c r="I41" s="116">
        <v>70</v>
      </c>
      <c r="J41" s="93">
        <f t="shared" si="2"/>
        <v>88.46</v>
      </c>
      <c r="K41" s="98"/>
    </row>
    <row r="42" spans="1:12" s="114" customFormat="1" ht="12.75" x14ac:dyDescent="0.25">
      <c r="B42" s="155" t="s">
        <v>25</v>
      </c>
      <c r="C42" s="79"/>
      <c r="D42" s="80" t="s">
        <v>20</v>
      </c>
      <c r="E42" s="139" t="s">
        <v>9</v>
      </c>
      <c r="F42" s="89"/>
      <c r="G42" s="154"/>
      <c r="H42" s="156">
        <f>SUM(H43:H58)</f>
        <v>98503.860000000015</v>
      </c>
      <c r="I42" s="116">
        <v>35.47</v>
      </c>
      <c r="J42" s="93">
        <f t="shared" si="2"/>
        <v>44.82</v>
      </c>
      <c r="K42" s="98"/>
    </row>
    <row r="43" spans="1:12" s="114" customFormat="1" ht="89.25" x14ac:dyDescent="0.25">
      <c r="B43" s="115" t="s">
        <v>27</v>
      </c>
      <c r="C43" s="296" t="s">
        <v>471</v>
      </c>
      <c r="D43" s="2" t="s">
        <v>470</v>
      </c>
      <c r="E43" s="323" t="s">
        <v>50</v>
      </c>
      <c r="F43" s="245">
        <v>48</v>
      </c>
      <c r="G43" s="297">
        <v>816.75</v>
      </c>
      <c r="H43" s="322">
        <f>ROUND(G43*F43,2)</f>
        <v>39204</v>
      </c>
      <c r="I43" s="315"/>
      <c r="J43" s="249"/>
      <c r="K43" s="251"/>
    </row>
    <row r="44" spans="1:12" s="114" customFormat="1" ht="38.25" x14ac:dyDescent="0.25">
      <c r="B44" s="115" t="s">
        <v>84</v>
      </c>
      <c r="C44" s="296" t="s">
        <v>136</v>
      </c>
      <c r="D44" s="296" t="s">
        <v>134</v>
      </c>
      <c r="E44" s="15" t="s">
        <v>50</v>
      </c>
      <c r="F44" s="245">
        <v>5</v>
      </c>
      <c r="G44" s="22">
        <f>J66</f>
        <v>2337.81</v>
      </c>
      <c r="H44" s="271">
        <f t="shared" ref="H44:H58" si="5">ROUND(G44*F44,2)</f>
        <v>11689.05</v>
      </c>
      <c r="I44" s="315">
        <v>2438.79</v>
      </c>
      <c r="J44" s="249">
        <f t="shared" si="2"/>
        <v>3081.9</v>
      </c>
      <c r="K44" s="251"/>
    </row>
    <row r="45" spans="1:12" s="114" customFormat="1" ht="38.25" x14ac:dyDescent="0.25">
      <c r="B45" s="115" t="s">
        <v>415</v>
      </c>
      <c r="C45" s="16" t="s">
        <v>277</v>
      </c>
      <c r="D45" s="16" t="s">
        <v>386</v>
      </c>
      <c r="E45" s="245" t="s">
        <v>50</v>
      </c>
      <c r="F45" s="245">
        <v>1</v>
      </c>
      <c r="G45" s="16">
        <f>J67</f>
        <v>2603.42</v>
      </c>
      <c r="H45" s="271">
        <f t="shared" si="5"/>
        <v>2603.42</v>
      </c>
      <c r="I45" s="315">
        <v>2835.22</v>
      </c>
      <c r="J45" s="249">
        <f t="shared" si="2"/>
        <v>3582.87</v>
      </c>
      <c r="K45" s="251"/>
    </row>
    <row r="46" spans="1:12" s="114" customFormat="1" ht="38.25" x14ac:dyDescent="0.25">
      <c r="B46" s="115" t="s">
        <v>129</v>
      </c>
      <c r="C46" s="16" t="s">
        <v>281</v>
      </c>
      <c r="D46" s="16" t="s">
        <v>395</v>
      </c>
      <c r="E46" s="16" t="s">
        <v>50</v>
      </c>
      <c r="F46" s="245">
        <v>1</v>
      </c>
      <c r="G46" s="16">
        <f>J68</f>
        <v>2988.74</v>
      </c>
      <c r="H46" s="271">
        <f t="shared" si="5"/>
        <v>2988.74</v>
      </c>
      <c r="I46" s="315"/>
      <c r="J46" s="249"/>
      <c r="K46" s="251"/>
    </row>
    <row r="47" spans="1:12" s="114" customFormat="1" ht="30" x14ac:dyDescent="0.25">
      <c r="B47" s="115" t="s">
        <v>135</v>
      </c>
      <c r="C47" s="302" t="s">
        <v>306</v>
      </c>
      <c r="D47" s="261" t="s">
        <v>420</v>
      </c>
      <c r="E47" s="172" t="s">
        <v>50</v>
      </c>
      <c r="F47" s="245">
        <v>1</v>
      </c>
      <c r="G47" s="22">
        <f>J64</f>
        <v>1972.98</v>
      </c>
      <c r="H47" s="271">
        <f t="shared" si="5"/>
        <v>1972.98</v>
      </c>
      <c r="I47" s="315"/>
      <c r="J47" s="249"/>
      <c r="K47" s="251"/>
    </row>
    <row r="48" spans="1:12" s="114" customFormat="1" ht="38.25" x14ac:dyDescent="0.25">
      <c r="B48" s="115" t="s">
        <v>137</v>
      </c>
      <c r="C48" s="302" t="s">
        <v>307</v>
      </c>
      <c r="D48" s="278" t="s">
        <v>477</v>
      </c>
      <c r="E48" s="172" t="s">
        <v>50</v>
      </c>
      <c r="F48" s="245">
        <v>1</v>
      </c>
      <c r="G48" s="22">
        <v>3308.11</v>
      </c>
      <c r="H48" s="271">
        <f t="shared" si="5"/>
        <v>3308.11</v>
      </c>
      <c r="I48" s="324"/>
      <c r="J48" s="249"/>
      <c r="K48" s="251"/>
    </row>
    <row r="49" spans="1:130" s="114" customFormat="1" ht="38.25" x14ac:dyDescent="0.25">
      <c r="B49" s="115" t="s">
        <v>416</v>
      </c>
      <c r="C49" s="302" t="s">
        <v>314</v>
      </c>
      <c r="D49" s="278" t="s">
        <v>478</v>
      </c>
      <c r="E49" s="172" t="s">
        <v>50</v>
      </c>
      <c r="F49" s="245">
        <v>1</v>
      </c>
      <c r="G49" s="22">
        <v>3052.3</v>
      </c>
      <c r="H49" s="271">
        <f t="shared" si="5"/>
        <v>3052.3</v>
      </c>
      <c r="I49" s="324"/>
      <c r="J49" s="249"/>
      <c r="K49" s="251"/>
    </row>
    <row r="50" spans="1:130" s="114" customFormat="1" ht="38.25" x14ac:dyDescent="0.25">
      <c r="B50" s="115" t="s">
        <v>144</v>
      </c>
      <c r="C50" s="302" t="s">
        <v>319</v>
      </c>
      <c r="D50" s="278" t="s">
        <v>479</v>
      </c>
      <c r="E50" s="172" t="s">
        <v>50</v>
      </c>
      <c r="F50" s="245">
        <v>1</v>
      </c>
      <c r="G50" s="22">
        <v>3093.63</v>
      </c>
      <c r="H50" s="271">
        <f t="shared" si="5"/>
        <v>3093.63</v>
      </c>
      <c r="I50" s="324"/>
      <c r="J50" s="249"/>
      <c r="K50" s="251"/>
    </row>
    <row r="51" spans="1:130" s="114" customFormat="1" ht="38.25" x14ac:dyDescent="0.25">
      <c r="B51" s="115" t="s">
        <v>417</v>
      </c>
      <c r="C51" s="302" t="s">
        <v>320</v>
      </c>
      <c r="D51" s="278" t="s">
        <v>485</v>
      </c>
      <c r="E51" s="172" t="s">
        <v>50</v>
      </c>
      <c r="F51" s="245">
        <v>1</v>
      </c>
      <c r="G51" s="22">
        <v>3166.8</v>
      </c>
      <c r="H51" s="271">
        <f t="shared" si="5"/>
        <v>3166.8</v>
      </c>
      <c r="I51" s="324"/>
      <c r="J51" s="249"/>
      <c r="K51" s="251"/>
    </row>
    <row r="52" spans="1:130" s="114" customFormat="1" ht="51" x14ac:dyDescent="0.25">
      <c r="B52" s="115" t="s">
        <v>418</v>
      </c>
      <c r="C52" s="302" t="s">
        <v>362</v>
      </c>
      <c r="D52" s="278" t="s">
        <v>486</v>
      </c>
      <c r="E52" s="172" t="s">
        <v>50</v>
      </c>
      <c r="F52" s="245">
        <v>1</v>
      </c>
      <c r="G52" s="22">
        <v>3093.63</v>
      </c>
      <c r="H52" s="271">
        <f t="shared" si="5"/>
        <v>3093.63</v>
      </c>
      <c r="I52" s="324"/>
      <c r="J52" s="249"/>
      <c r="K52" s="251"/>
    </row>
    <row r="53" spans="1:130" s="114" customFormat="1" ht="25.5" x14ac:dyDescent="0.25">
      <c r="B53" s="115" t="s">
        <v>441</v>
      </c>
      <c r="C53" s="16" t="s">
        <v>318</v>
      </c>
      <c r="D53" s="278" t="s">
        <v>317</v>
      </c>
      <c r="E53" s="172" t="s">
        <v>86</v>
      </c>
      <c r="F53" s="245">
        <v>8.64</v>
      </c>
      <c r="G53" s="22">
        <f>J74</f>
        <v>322.55</v>
      </c>
      <c r="H53" s="271">
        <f t="shared" si="5"/>
        <v>2786.83</v>
      </c>
      <c r="I53" s="315"/>
      <c r="J53" s="93">
        <f t="shared" si="2"/>
        <v>0</v>
      </c>
      <c r="K53" s="98"/>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130" s="114" customFormat="1" ht="51" x14ac:dyDescent="0.25">
      <c r="B54" s="115" t="s">
        <v>487</v>
      </c>
      <c r="C54" s="296" t="s">
        <v>476</v>
      </c>
      <c r="D54" s="296" t="s">
        <v>469</v>
      </c>
      <c r="E54" s="3" t="s">
        <v>86</v>
      </c>
      <c r="F54" s="245">
        <v>2.97</v>
      </c>
      <c r="G54" s="321">
        <v>447.62</v>
      </c>
      <c r="H54" s="322">
        <f t="shared" si="5"/>
        <v>1329.43</v>
      </c>
      <c r="I54" s="315">
        <v>354.21</v>
      </c>
      <c r="J54" s="249">
        <f t="shared" si="2"/>
        <v>447.62</v>
      </c>
      <c r="K54" s="251"/>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row>
    <row r="55" spans="1:130" s="114" customFormat="1" ht="45" x14ac:dyDescent="0.25">
      <c r="B55" s="115" t="s">
        <v>488</v>
      </c>
      <c r="C55" s="296" t="s">
        <v>475</v>
      </c>
      <c r="D55" s="261" t="s">
        <v>474</v>
      </c>
      <c r="E55" s="172" t="s">
        <v>86</v>
      </c>
      <c r="F55" s="245">
        <v>13.2</v>
      </c>
      <c r="G55" s="22">
        <v>332.87</v>
      </c>
      <c r="H55" s="271">
        <f t="shared" si="5"/>
        <v>4393.88</v>
      </c>
      <c r="I55" s="315">
        <f>K55</f>
        <v>31.71</v>
      </c>
      <c r="J55" s="93">
        <f t="shared" si="2"/>
        <v>40.07</v>
      </c>
      <c r="K55" s="100">
        <f>ROUND(G39/1.2637,2)</f>
        <v>31.71</v>
      </c>
      <c r="L55" s="250">
        <v>263.41000000000003</v>
      </c>
      <c r="M55" s="97">
        <f>ROUND(L55*1.2637,2)</f>
        <v>332.87</v>
      </c>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row>
    <row r="56" spans="1:130" s="114" customFormat="1" ht="45" x14ac:dyDescent="0.25">
      <c r="B56" s="115" t="s">
        <v>489</v>
      </c>
      <c r="C56" s="16" t="s">
        <v>472</v>
      </c>
      <c r="D56" s="261" t="s">
        <v>473</v>
      </c>
      <c r="E56" s="172" t="s">
        <v>86</v>
      </c>
      <c r="F56" s="245">
        <v>18.84</v>
      </c>
      <c r="G56" s="22">
        <v>287.45</v>
      </c>
      <c r="H56" s="271">
        <f t="shared" si="5"/>
        <v>5415.56</v>
      </c>
      <c r="I56" s="315">
        <v>227.47</v>
      </c>
      <c r="J56" s="249">
        <f t="shared" si="2"/>
        <v>287.45</v>
      </c>
      <c r="K56" s="252"/>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row>
    <row r="57" spans="1:130" s="114" customFormat="1" ht="60" x14ac:dyDescent="0.25">
      <c r="B57" s="115" t="s">
        <v>490</v>
      </c>
      <c r="C57" s="16" t="s">
        <v>414</v>
      </c>
      <c r="D57" s="261" t="s">
        <v>413</v>
      </c>
      <c r="E57" s="172" t="s">
        <v>86</v>
      </c>
      <c r="F57" s="245">
        <v>17.28</v>
      </c>
      <c r="G57" s="22">
        <f>J69</f>
        <v>331.86</v>
      </c>
      <c r="H57" s="271">
        <f t="shared" si="5"/>
        <v>5734.54</v>
      </c>
      <c r="I57" s="315">
        <v>12.56</v>
      </c>
      <c r="J57" s="249">
        <f>ROUND(I57*1.2637,2)</f>
        <v>15.87</v>
      </c>
      <c r="K57" s="252">
        <f>ROUND(G40/1.2637,2)</f>
        <v>12.56</v>
      </c>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row>
    <row r="58" spans="1:130" s="114" customFormat="1" ht="75" x14ac:dyDescent="0.25">
      <c r="B58" s="115" t="s">
        <v>491</v>
      </c>
      <c r="C58" s="302" t="s">
        <v>412</v>
      </c>
      <c r="D58" s="261" t="s">
        <v>411</v>
      </c>
      <c r="E58" s="172" t="s">
        <v>86</v>
      </c>
      <c r="F58" s="245">
        <v>11.15</v>
      </c>
      <c r="G58" s="22">
        <f>J76</f>
        <v>418.92</v>
      </c>
      <c r="H58" s="271">
        <f t="shared" si="5"/>
        <v>4670.96</v>
      </c>
      <c r="I58" s="315">
        <v>28.02</v>
      </c>
      <c r="J58" s="249">
        <f>ROUND(I58*1.2637,2)</f>
        <v>35.409999999999997</v>
      </c>
      <c r="K58" s="252"/>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row>
    <row r="59" spans="1:130" s="114" customFormat="1" ht="12.75" x14ac:dyDescent="0.25">
      <c r="B59" s="132" t="s">
        <v>28</v>
      </c>
      <c r="C59" s="7"/>
      <c r="D59" s="88" t="s">
        <v>127</v>
      </c>
      <c r="E59" s="1" t="s">
        <v>9</v>
      </c>
      <c r="F59" s="5"/>
      <c r="G59" s="21"/>
      <c r="H59" s="91">
        <f>SUM(H60:H71)</f>
        <v>415667.28000000009</v>
      </c>
      <c r="I59" s="315">
        <v>14.18</v>
      </c>
      <c r="J59" s="314">
        <f t="shared" si="2"/>
        <v>17.920000000000002</v>
      </c>
      <c r="K59" s="316"/>
      <c r="L59" s="317"/>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row>
    <row r="60" spans="1:130" s="114" customFormat="1" ht="51" x14ac:dyDescent="0.25">
      <c r="B60" s="247" t="s">
        <v>30</v>
      </c>
      <c r="C60" s="16" t="s">
        <v>36</v>
      </c>
      <c r="D60" s="18" t="s">
        <v>37</v>
      </c>
      <c r="E60" s="15" t="s">
        <v>86</v>
      </c>
      <c r="F60" s="245">
        <v>3535.44</v>
      </c>
      <c r="G60" s="22">
        <v>3.85</v>
      </c>
      <c r="H60" s="248">
        <f>ROUND(G60*F60,2)</f>
        <v>13611.44</v>
      </c>
      <c r="I60" s="116">
        <v>22.79</v>
      </c>
      <c r="J60" s="93">
        <f t="shared" si="2"/>
        <v>28.8</v>
      </c>
      <c r="K60" s="98"/>
      <c r="L60" s="100">
        <f>1767.72*2</f>
        <v>3535.44</v>
      </c>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130" s="96" customFormat="1" ht="76.5" x14ac:dyDescent="0.25">
      <c r="A61" s="4"/>
      <c r="B61" s="247" t="s">
        <v>31</v>
      </c>
      <c r="C61" s="16" t="s">
        <v>38</v>
      </c>
      <c r="D61" s="18" t="s">
        <v>39</v>
      </c>
      <c r="E61" s="15" t="s">
        <v>86</v>
      </c>
      <c r="F61" s="245">
        <v>1767.72</v>
      </c>
      <c r="G61" s="22">
        <v>34.659999999999997</v>
      </c>
      <c r="H61" s="248">
        <f t="shared" ref="H61:H67" si="6">ROUND(G61*F61,2)</f>
        <v>61269.18</v>
      </c>
      <c r="I61" s="119">
        <v>17.89</v>
      </c>
      <c r="J61" s="93">
        <f t="shared" si="2"/>
        <v>22.61</v>
      </c>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row>
    <row r="62" spans="1:130" s="96" customFormat="1" ht="76.5" x14ac:dyDescent="0.25">
      <c r="A62" s="4"/>
      <c r="B62" s="247" t="s">
        <v>97</v>
      </c>
      <c r="C62" s="16" t="s">
        <v>99</v>
      </c>
      <c r="D62" s="18" t="s">
        <v>100</v>
      </c>
      <c r="E62" s="15" t="s">
        <v>86</v>
      </c>
      <c r="F62" s="245">
        <v>1767.72</v>
      </c>
      <c r="G62" s="22">
        <v>37.909999999999997</v>
      </c>
      <c r="H62" s="248">
        <f t="shared" si="6"/>
        <v>67014.27</v>
      </c>
      <c r="I62" s="119"/>
      <c r="J62" s="249">
        <f t="shared" si="2"/>
        <v>0</v>
      </c>
      <c r="K62" s="100"/>
      <c r="L62" s="100">
        <f>1767.72*0.8</f>
        <v>1414.1760000000002</v>
      </c>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row>
    <row r="63" spans="1:130" s="96" customFormat="1" ht="63.75" x14ac:dyDescent="0.25">
      <c r="A63" s="4"/>
      <c r="B63" s="247" t="s">
        <v>524</v>
      </c>
      <c r="C63" s="9" t="s">
        <v>142</v>
      </c>
      <c r="D63" s="18" t="s">
        <v>182</v>
      </c>
      <c r="E63" s="15" t="s">
        <v>86</v>
      </c>
      <c r="F63" s="245">
        <v>146.16999999999999</v>
      </c>
      <c r="G63" s="22">
        <f>J95</f>
        <v>40.35</v>
      </c>
      <c r="H63" s="248">
        <f t="shared" si="6"/>
        <v>5897.96</v>
      </c>
      <c r="I63" s="119"/>
      <c r="J63" s="249">
        <f t="shared" si="2"/>
        <v>0</v>
      </c>
      <c r="K63" s="252"/>
      <c r="L63" s="252"/>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row>
    <row r="64" spans="1:130" s="96" customFormat="1" ht="76.5" x14ac:dyDescent="0.25">
      <c r="A64" s="4"/>
      <c r="B64" s="247" t="s">
        <v>91</v>
      </c>
      <c r="C64" s="9" t="s">
        <v>139</v>
      </c>
      <c r="D64" s="18" t="s">
        <v>138</v>
      </c>
      <c r="E64" s="15" t="s">
        <v>86</v>
      </c>
      <c r="F64" s="245">
        <v>197.09</v>
      </c>
      <c r="G64" s="22">
        <f>J96</f>
        <v>199.41</v>
      </c>
      <c r="H64" s="248">
        <f t="shared" si="6"/>
        <v>39301.72</v>
      </c>
      <c r="I64" s="119">
        <v>1561.27</v>
      </c>
      <c r="J64" s="249">
        <f t="shared" si="2"/>
        <v>1972.98</v>
      </c>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row>
    <row r="65" spans="2:52" s="114" customFormat="1" ht="76.5" x14ac:dyDescent="0.25">
      <c r="B65" s="247" t="s">
        <v>92</v>
      </c>
      <c r="C65" s="9" t="s">
        <v>141</v>
      </c>
      <c r="D65" s="18" t="s">
        <v>140</v>
      </c>
      <c r="E65" s="15" t="s">
        <v>86</v>
      </c>
      <c r="F65" s="245">
        <v>325.68</v>
      </c>
      <c r="G65" s="22">
        <v>60.87</v>
      </c>
      <c r="H65" s="248">
        <f t="shared" si="6"/>
        <v>19824.14</v>
      </c>
      <c r="I65" s="116"/>
      <c r="J65" s="93">
        <f t="shared" si="2"/>
        <v>0</v>
      </c>
      <c r="K65" s="251"/>
      <c r="L65" s="252"/>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row>
    <row r="66" spans="2:52" s="114" customFormat="1" ht="38.25" x14ac:dyDescent="0.25">
      <c r="B66" s="247" t="s">
        <v>93</v>
      </c>
      <c r="C66" s="246" t="s">
        <v>101</v>
      </c>
      <c r="D66" s="255" t="s">
        <v>102</v>
      </c>
      <c r="E66" s="15" t="s">
        <v>86</v>
      </c>
      <c r="F66" s="245">
        <v>834.39</v>
      </c>
      <c r="G66" s="22">
        <v>25.24</v>
      </c>
      <c r="H66" s="248">
        <f t="shared" si="6"/>
        <v>21060</v>
      </c>
      <c r="I66" s="254">
        <v>1849.97</v>
      </c>
      <c r="J66" s="93">
        <f t="shared" si="2"/>
        <v>2337.81</v>
      </c>
      <c r="K66" s="251"/>
      <c r="L66" s="252"/>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row>
    <row r="67" spans="2:52" s="114" customFormat="1" ht="102" x14ac:dyDescent="0.25">
      <c r="B67" s="247" t="s">
        <v>466</v>
      </c>
      <c r="C67" s="18" t="s">
        <v>398</v>
      </c>
      <c r="D67" s="18" t="s">
        <v>397</v>
      </c>
      <c r="E67" s="15" t="s">
        <v>86</v>
      </c>
      <c r="F67" s="245">
        <v>951.72</v>
      </c>
      <c r="G67" s="22">
        <f>J85</f>
        <v>91.48</v>
      </c>
      <c r="H67" s="248">
        <f t="shared" si="6"/>
        <v>87063.35</v>
      </c>
      <c r="I67" s="254">
        <v>2060.16</v>
      </c>
      <c r="J67" s="249">
        <f t="shared" si="2"/>
        <v>2603.42</v>
      </c>
      <c r="K67" s="251"/>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row>
    <row r="68" spans="2:52" s="114" customFormat="1" ht="25.5" x14ac:dyDescent="0.25">
      <c r="B68" s="247" t="s">
        <v>525</v>
      </c>
      <c r="C68" s="18" t="s">
        <v>400</v>
      </c>
      <c r="D68" s="18" t="s">
        <v>399</v>
      </c>
      <c r="E68" s="15" t="s">
        <v>86</v>
      </c>
      <c r="F68" s="245">
        <v>87.03</v>
      </c>
      <c r="G68" s="22">
        <f>J86</f>
        <v>21.56</v>
      </c>
      <c r="H68" s="248">
        <f>ROUND(G68*F68,2)</f>
        <v>1876.37</v>
      </c>
      <c r="I68" s="254">
        <v>2365.0700000000002</v>
      </c>
      <c r="J68" s="249">
        <f t="shared" si="2"/>
        <v>2988.74</v>
      </c>
      <c r="K68" s="251"/>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row>
    <row r="69" spans="2:52" s="114" customFormat="1" ht="127.5" x14ac:dyDescent="0.25">
      <c r="B69" s="247" t="s">
        <v>106</v>
      </c>
      <c r="C69" s="18" t="s">
        <v>409</v>
      </c>
      <c r="D69" s="18" t="s">
        <v>410</v>
      </c>
      <c r="E69" s="15" t="s">
        <v>88</v>
      </c>
      <c r="F69" s="245">
        <v>101.18</v>
      </c>
      <c r="G69" s="22">
        <f>J89</f>
        <v>66.650000000000006</v>
      </c>
      <c r="H69" s="248">
        <f>ROUND(G69*F69,2)</f>
        <v>6743.65</v>
      </c>
      <c r="I69" s="254">
        <v>262.61</v>
      </c>
      <c r="J69" s="93">
        <f t="shared" si="2"/>
        <v>331.86</v>
      </c>
      <c r="K69" s="98"/>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row>
    <row r="70" spans="2:52" s="114" customFormat="1" ht="38.25" x14ac:dyDescent="0.25">
      <c r="B70" s="247" t="s">
        <v>401</v>
      </c>
      <c r="C70" s="246" t="s">
        <v>453</v>
      </c>
      <c r="D70" s="18" t="s">
        <v>454</v>
      </c>
      <c r="E70" s="15" t="s">
        <v>86</v>
      </c>
      <c r="F70" s="245">
        <v>688.22</v>
      </c>
      <c r="G70" s="22">
        <v>132.72999999999999</v>
      </c>
      <c r="H70" s="248">
        <f>ROUND(G70*F70,2)</f>
        <v>91347.44</v>
      </c>
      <c r="I70" s="254">
        <v>105.03</v>
      </c>
      <c r="J70" s="249">
        <f t="shared" si="2"/>
        <v>132.72999999999999</v>
      </c>
      <c r="K70" s="251"/>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row>
    <row r="71" spans="2:52" s="114" customFormat="1" ht="51" x14ac:dyDescent="0.25">
      <c r="B71" s="247" t="s">
        <v>402</v>
      </c>
      <c r="C71" s="320" t="s">
        <v>467</v>
      </c>
      <c r="D71" s="17" t="s">
        <v>468</v>
      </c>
      <c r="E71" s="3" t="s">
        <v>86</v>
      </c>
      <c r="F71" s="245">
        <v>8</v>
      </c>
      <c r="G71" s="321">
        <v>82.22</v>
      </c>
      <c r="H71" s="248">
        <f t="shared" ref="H71" si="7">ROUND(G71*F71,2)</f>
        <v>657.76</v>
      </c>
      <c r="I71" s="254"/>
      <c r="J71" s="249"/>
      <c r="K71" s="251"/>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row>
    <row r="72" spans="2:52" s="114" customFormat="1" ht="12.75" x14ac:dyDescent="0.25">
      <c r="B72" s="118" t="s">
        <v>32</v>
      </c>
      <c r="C72" s="13"/>
      <c r="D72" s="121" t="s">
        <v>286</v>
      </c>
      <c r="E72" s="1"/>
      <c r="F72" s="14"/>
      <c r="G72" s="21"/>
      <c r="H72" s="91">
        <f>SUM(H73:H75)</f>
        <v>3770.4300000000003</v>
      </c>
      <c r="I72" s="315">
        <v>354.78</v>
      </c>
      <c r="J72" s="314">
        <f t="shared" si="2"/>
        <v>448.34</v>
      </c>
      <c r="K72" s="316"/>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row>
    <row r="73" spans="2:52" s="114" customFormat="1" ht="63.75" x14ac:dyDescent="0.25">
      <c r="B73" s="189" t="s">
        <v>33</v>
      </c>
      <c r="C73" s="18" t="s">
        <v>288</v>
      </c>
      <c r="D73" s="255" t="s">
        <v>287</v>
      </c>
      <c r="E73" s="15" t="s">
        <v>50</v>
      </c>
      <c r="F73" s="245">
        <v>15</v>
      </c>
      <c r="G73" s="22">
        <f>J100</f>
        <v>32.19</v>
      </c>
      <c r="H73" s="248">
        <f>ROUND(F73*G73,2)</f>
        <v>482.85</v>
      </c>
      <c r="I73" s="254">
        <v>374.68</v>
      </c>
      <c r="J73" s="249">
        <f t="shared" si="2"/>
        <v>473.48</v>
      </c>
      <c r="K73" s="251"/>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row>
    <row r="74" spans="2:52" s="114" customFormat="1" ht="51" x14ac:dyDescent="0.25">
      <c r="B74" s="189" t="s">
        <v>41</v>
      </c>
      <c r="C74" s="246" t="s">
        <v>290</v>
      </c>
      <c r="D74" s="255" t="s">
        <v>289</v>
      </c>
      <c r="E74" s="15" t="s">
        <v>50</v>
      </c>
      <c r="F74" s="245">
        <v>1</v>
      </c>
      <c r="G74" s="22">
        <f>J101</f>
        <v>296.43</v>
      </c>
      <c r="H74" s="248">
        <f>ROUND(F74*G74,2)</f>
        <v>296.43</v>
      </c>
      <c r="I74" s="254">
        <v>255.24</v>
      </c>
      <c r="J74" s="249">
        <f t="shared" si="2"/>
        <v>322.55</v>
      </c>
      <c r="K74" s="251"/>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row>
    <row r="75" spans="2:52" s="114" customFormat="1" ht="38.25" x14ac:dyDescent="0.25">
      <c r="B75" s="189" t="s">
        <v>42</v>
      </c>
      <c r="C75" s="246" t="s">
        <v>376</v>
      </c>
      <c r="D75" s="255" t="s">
        <v>363</v>
      </c>
      <c r="E75" s="15" t="s">
        <v>50</v>
      </c>
      <c r="F75" s="245">
        <v>15</v>
      </c>
      <c r="G75" s="22">
        <f>J96</f>
        <v>199.41</v>
      </c>
      <c r="H75" s="248">
        <f>ROUND(F75*G75,2)</f>
        <v>2991.15</v>
      </c>
      <c r="I75" s="254">
        <v>262.61</v>
      </c>
      <c r="J75" s="249">
        <f>ROUND(I75*1.2637,2)</f>
        <v>331.86</v>
      </c>
      <c r="K75" s="251"/>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row>
    <row r="76" spans="2:52" s="114" customFormat="1" ht="12.75" x14ac:dyDescent="0.25">
      <c r="B76" s="118" t="s">
        <v>113</v>
      </c>
      <c r="C76" s="13"/>
      <c r="D76" s="121" t="s">
        <v>40</v>
      </c>
      <c r="E76" s="1"/>
      <c r="F76" s="14"/>
      <c r="G76" s="21"/>
      <c r="H76" s="91">
        <f>SUM(H77:H83)</f>
        <v>575093.90999999992</v>
      </c>
      <c r="I76" s="315">
        <v>331.5</v>
      </c>
      <c r="J76" s="314">
        <f>ROUND(I76*1.2637,2)</f>
        <v>418.92</v>
      </c>
      <c r="K76" s="316"/>
      <c r="L76" s="317"/>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row>
    <row r="77" spans="2:52" s="114" customFormat="1" ht="38.25" x14ac:dyDescent="0.25">
      <c r="B77" s="189" t="s">
        <v>498</v>
      </c>
      <c r="C77" s="18" t="s">
        <v>291</v>
      </c>
      <c r="D77" s="18" t="s">
        <v>292</v>
      </c>
      <c r="E77" s="15" t="s">
        <v>86</v>
      </c>
      <c r="F77" s="245">
        <v>857.93</v>
      </c>
      <c r="G77" s="22">
        <v>82.84</v>
      </c>
      <c r="H77" s="248">
        <f t="shared" ref="H77:H83" si="8">ROUND(G77*F77,2)</f>
        <v>71070.92</v>
      </c>
      <c r="I77" s="254">
        <v>355.14</v>
      </c>
      <c r="J77" s="249">
        <f t="shared" si="2"/>
        <v>448.79</v>
      </c>
      <c r="K77" s="251">
        <v>65.55</v>
      </c>
      <c r="L77" s="252">
        <f>ROUND(K77*1.2637,2)</f>
        <v>82.84</v>
      </c>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row>
    <row r="78" spans="2:52" s="114" customFormat="1" ht="45" x14ac:dyDescent="0.25">
      <c r="B78" s="189" t="s">
        <v>499</v>
      </c>
      <c r="C78" s="260" t="s">
        <v>396</v>
      </c>
      <c r="D78" s="261" t="s">
        <v>293</v>
      </c>
      <c r="E78" s="15" t="s">
        <v>86</v>
      </c>
      <c r="F78" s="245">
        <v>640.20000000000005</v>
      </c>
      <c r="G78" s="22">
        <v>626.97</v>
      </c>
      <c r="H78" s="248">
        <f t="shared" si="8"/>
        <v>401386.19</v>
      </c>
      <c r="I78" s="254">
        <v>313.29000000000002</v>
      </c>
      <c r="J78" s="249">
        <f t="shared" si="2"/>
        <v>395.9</v>
      </c>
      <c r="K78" s="251"/>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row>
    <row r="79" spans="2:52" s="114" customFormat="1" ht="30" x14ac:dyDescent="0.25">
      <c r="B79" s="189" t="s">
        <v>500</v>
      </c>
      <c r="C79" s="260" t="s">
        <v>419</v>
      </c>
      <c r="D79" s="261" t="s">
        <v>297</v>
      </c>
      <c r="E79" s="15" t="s">
        <v>88</v>
      </c>
      <c r="F79" s="245">
        <v>103.43</v>
      </c>
      <c r="G79" s="22">
        <v>32.19</v>
      </c>
      <c r="H79" s="248">
        <f t="shared" si="8"/>
        <v>3329.41</v>
      </c>
      <c r="I79" s="254"/>
      <c r="J79" s="249"/>
      <c r="K79" s="251"/>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row>
    <row r="80" spans="2:52" s="114" customFormat="1" ht="25.5" x14ac:dyDescent="0.25">
      <c r="B80" s="189" t="s">
        <v>501</v>
      </c>
      <c r="C80" s="18" t="s">
        <v>308</v>
      </c>
      <c r="D80" s="18" t="s">
        <v>309</v>
      </c>
      <c r="E80" s="15" t="s">
        <v>88</v>
      </c>
      <c r="F80" s="245">
        <v>100.59</v>
      </c>
      <c r="G80" s="22">
        <v>79.08</v>
      </c>
      <c r="H80" s="248">
        <f t="shared" si="8"/>
        <v>7954.66</v>
      </c>
      <c r="I80" s="311">
        <v>62.58</v>
      </c>
      <c r="J80" s="249">
        <f>ROUND(I80*1.2637,2)</f>
        <v>79.08</v>
      </c>
      <c r="K80" s="31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row>
    <row r="81" spans="2:130" s="114" customFormat="1" ht="63.75" x14ac:dyDescent="0.25">
      <c r="B81" s="189" t="s">
        <v>114</v>
      </c>
      <c r="C81" s="260" t="s">
        <v>442</v>
      </c>
      <c r="D81" s="18" t="s">
        <v>310</v>
      </c>
      <c r="E81" s="15" t="s">
        <v>86</v>
      </c>
      <c r="F81" s="245">
        <v>217.73</v>
      </c>
      <c r="G81" s="22">
        <v>98.38</v>
      </c>
      <c r="H81" s="248">
        <f t="shared" si="8"/>
        <v>21420.28</v>
      </c>
      <c r="I81" s="254"/>
      <c r="J81" s="249"/>
      <c r="K81" s="251"/>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row>
    <row r="82" spans="2:130" s="114" customFormat="1" ht="38.25" x14ac:dyDescent="0.25">
      <c r="B82" s="189" t="s">
        <v>115</v>
      </c>
      <c r="C82" s="173" t="s">
        <v>316</v>
      </c>
      <c r="D82" s="18" t="s">
        <v>315</v>
      </c>
      <c r="E82" s="15" t="s">
        <v>86</v>
      </c>
      <c r="F82" s="245">
        <v>857.93</v>
      </c>
      <c r="G82" s="22">
        <v>55.5</v>
      </c>
      <c r="H82" s="248">
        <f t="shared" si="8"/>
        <v>47615.12</v>
      </c>
      <c r="I82" s="254">
        <v>43.92</v>
      </c>
      <c r="J82" s="249">
        <f>ROUND(I82*1.2637,2)</f>
        <v>55.5</v>
      </c>
      <c r="K82" s="251"/>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row>
    <row r="83" spans="2:130" s="114" customFormat="1" ht="51" x14ac:dyDescent="0.25">
      <c r="B83" s="189" t="s">
        <v>116</v>
      </c>
      <c r="C83" s="173" t="s">
        <v>451</v>
      </c>
      <c r="D83" s="18" t="s">
        <v>452</v>
      </c>
      <c r="E83" s="15" t="s">
        <v>86</v>
      </c>
      <c r="F83" s="245">
        <v>217.73</v>
      </c>
      <c r="G83" s="22">
        <v>102.5</v>
      </c>
      <c r="H83" s="248">
        <f t="shared" si="8"/>
        <v>22317.33</v>
      </c>
      <c r="I83" s="254"/>
      <c r="J83" s="249"/>
      <c r="K83" s="251"/>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row>
    <row r="84" spans="2:130" s="114" customFormat="1" ht="12.75" x14ac:dyDescent="0.25">
      <c r="B84" s="118" t="s">
        <v>117</v>
      </c>
      <c r="C84" s="7"/>
      <c r="D84" s="88" t="s">
        <v>26</v>
      </c>
      <c r="E84" s="1" t="s">
        <v>9</v>
      </c>
      <c r="F84" s="5"/>
      <c r="G84" s="21"/>
      <c r="H84" s="91">
        <f>SUM(H85:H107)</f>
        <v>60243.159999999996</v>
      </c>
      <c r="I84" s="254"/>
      <c r="J84" s="249"/>
      <c r="K84" s="251"/>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row>
    <row r="85" spans="2:130" s="114" customFormat="1" ht="12.75" x14ac:dyDescent="0.25">
      <c r="B85" s="190"/>
      <c r="C85" s="279"/>
      <c r="D85" s="278" t="s">
        <v>232</v>
      </c>
      <c r="E85" s="275"/>
      <c r="F85" s="276"/>
      <c r="G85" s="176"/>
      <c r="H85" s="277"/>
      <c r="I85" s="169">
        <v>72.39</v>
      </c>
      <c r="J85" s="249">
        <f t="shared" si="2"/>
        <v>91.48</v>
      </c>
      <c r="K85" s="251"/>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row>
    <row r="86" spans="2:130" s="114" customFormat="1" ht="51" x14ac:dyDescent="0.25">
      <c r="B86" s="269" t="s">
        <v>455</v>
      </c>
      <c r="C86" s="279" t="s">
        <v>103</v>
      </c>
      <c r="D86" s="280" t="s">
        <v>150</v>
      </c>
      <c r="E86" s="275" t="s">
        <v>104</v>
      </c>
      <c r="F86" s="8">
        <v>12</v>
      </c>
      <c r="G86" s="176">
        <v>106.34</v>
      </c>
      <c r="H86" s="277">
        <f t="shared" ref="H86:H107" si="9">ROUND(G86*F86,2)</f>
        <v>1276.08</v>
      </c>
      <c r="I86" s="169">
        <v>17.059999999999999</v>
      </c>
      <c r="J86" s="249">
        <f>ROUND(I86*1.2637,2)</f>
        <v>21.56</v>
      </c>
      <c r="K86" s="251"/>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row>
    <row r="87" spans="2:130" s="114" customFormat="1" ht="51" x14ac:dyDescent="0.25">
      <c r="B87" s="269" t="s">
        <v>159</v>
      </c>
      <c r="C87" s="279" t="s">
        <v>156</v>
      </c>
      <c r="D87" s="278" t="s">
        <v>155</v>
      </c>
      <c r="E87" s="275" t="s">
        <v>104</v>
      </c>
      <c r="F87" s="8">
        <v>14</v>
      </c>
      <c r="G87" s="176">
        <v>113.01</v>
      </c>
      <c r="H87" s="277">
        <f t="shared" si="9"/>
        <v>1582.14</v>
      </c>
      <c r="I87" s="169">
        <v>25.73</v>
      </c>
      <c r="J87" s="249">
        <f>ROUND(I87*1.2637,2)</f>
        <v>32.520000000000003</v>
      </c>
      <c r="K87" s="251"/>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row>
    <row r="88" spans="2:130" s="114" customFormat="1" ht="51" x14ac:dyDescent="0.25">
      <c r="B88" s="269" t="s">
        <v>118</v>
      </c>
      <c r="C88" s="279" t="s">
        <v>224</v>
      </c>
      <c r="D88" s="278" t="s">
        <v>225</v>
      </c>
      <c r="E88" s="275" t="s">
        <v>104</v>
      </c>
      <c r="F88" s="8">
        <v>28</v>
      </c>
      <c r="G88" s="176">
        <v>103.72</v>
      </c>
      <c r="H88" s="277">
        <f t="shared" si="9"/>
        <v>2904.16</v>
      </c>
      <c r="I88" s="169">
        <v>90.64</v>
      </c>
      <c r="J88" s="249">
        <f>ROUND(I88*1.2637,2)</f>
        <v>114.54</v>
      </c>
      <c r="K88" s="251">
        <v>82.08</v>
      </c>
      <c r="L88" s="252">
        <f>ROUND(K88*1.2637,2)</f>
        <v>103.72</v>
      </c>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row>
    <row r="89" spans="2:130" s="114" customFormat="1" ht="104.25" customHeight="1" x14ac:dyDescent="0.25">
      <c r="B89" s="269" t="s">
        <v>119</v>
      </c>
      <c r="C89" s="279" t="s">
        <v>227</v>
      </c>
      <c r="D89" s="278" t="s">
        <v>226</v>
      </c>
      <c r="E89" s="275" t="s">
        <v>104</v>
      </c>
      <c r="F89" s="8">
        <v>46</v>
      </c>
      <c r="G89" s="176">
        <f>J108</f>
        <v>100.87</v>
      </c>
      <c r="H89" s="277">
        <f t="shared" si="9"/>
        <v>4640.0200000000004</v>
      </c>
      <c r="I89" s="169">
        <v>52.74</v>
      </c>
      <c r="J89" s="249">
        <f>ROUND(I89*1.2637,2)</f>
        <v>66.650000000000006</v>
      </c>
      <c r="K89" s="251"/>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row>
    <row r="90" spans="2:130" s="114" customFormat="1" ht="89.25" x14ac:dyDescent="0.25">
      <c r="B90" s="269" t="s">
        <v>120</v>
      </c>
      <c r="C90" s="279" t="s">
        <v>228</v>
      </c>
      <c r="D90" s="278" t="s">
        <v>230</v>
      </c>
      <c r="E90" s="275" t="s">
        <v>50</v>
      </c>
      <c r="F90" s="8">
        <v>10</v>
      </c>
      <c r="G90" s="176">
        <f>J109</f>
        <v>439.25</v>
      </c>
      <c r="H90" s="277">
        <f t="shared" si="9"/>
        <v>4392.5</v>
      </c>
      <c r="I90" s="169">
        <v>3.05</v>
      </c>
      <c r="J90" s="93">
        <f t="shared" si="2"/>
        <v>3.85</v>
      </c>
      <c r="K90" s="98"/>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row>
    <row r="91" spans="2:130" s="114" customFormat="1" ht="89.25" x14ac:dyDescent="0.25">
      <c r="B91" s="269" t="s">
        <v>121</v>
      </c>
      <c r="C91" s="279" t="s">
        <v>229</v>
      </c>
      <c r="D91" s="278" t="s">
        <v>231</v>
      </c>
      <c r="E91" s="275" t="s">
        <v>50</v>
      </c>
      <c r="F91" s="8">
        <v>3</v>
      </c>
      <c r="G91" s="176">
        <f>J110</f>
        <v>622.01</v>
      </c>
      <c r="H91" s="277">
        <f t="shared" si="9"/>
        <v>1866.03</v>
      </c>
      <c r="I91" s="116">
        <v>27.43</v>
      </c>
      <c r="J91" s="93">
        <f t="shared" si="2"/>
        <v>34.659999999999997</v>
      </c>
      <c r="K91" s="98"/>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row>
    <row r="92" spans="2:130" s="114" customFormat="1" ht="12.75" x14ac:dyDescent="0.25">
      <c r="B92" s="190"/>
      <c r="C92" s="279"/>
      <c r="D92" s="278" t="s">
        <v>233</v>
      </c>
      <c r="E92" s="275"/>
      <c r="F92" s="8"/>
      <c r="G92" s="176"/>
      <c r="H92" s="277"/>
      <c r="I92" s="116">
        <v>30</v>
      </c>
      <c r="J92" s="93">
        <f t="shared" si="2"/>
        <v>37.909999999999997</v>
      </c>
      <c r="K92" s="98"/>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row>
    <row r="93" spans="2:130" s="114" customFormat="1" ht="63.75" x14ac:dyDescent="0.25">
      <c r="B93" s="190" t="s">
        <v>122</v>
      </c>
      <c r="C93" s="279" t="s">
        <v>465</v>
      </c>
      <c r="D93" s="278" t="s">
        <v>241</v>
      </c>
      <c r="E93" s="275" t="s">
        <v>104</v>
      </c>
      <c r="F93" s="8">
        <v>73</v>
      </c>
      <c r="G93" s="176">
        <f>J113</f>
        <v>77.72</v>
      </c>
      <c r="H93" s="277">
        <f t="shared" ref="H93:H105" si="10">ROUND(G93*F93,2)</f>
        <v>5673.56</v>
      </c>
      <c r="I93" s="116">
        <v>26.5</v>
      </c>
      <c r="J93" s="93">
        <f t="shared" si="2"/>
        <v>33.49</v>
      </c>
      <c r="K93" s="251"/>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row>
    <row r="94" spans="2:130" s="114" customFormat="1" ht="64.5" thickBot="1" x14ac:dyDescent="0.3">
      <c r="B94" s="190" t="s">
        <v>132</v>
      </c>
      <c r="C94" s="279" t="s">
        <v>463</v>
      </c>
      <c r="D94" s="278" t="s">
        <v>464</v>
      </c>
      <c r="E94" s="275" t="s">
        <v>157</v>
      </c>
      <c r="F94" s="8">
        <v>18</v>
      </c>
      <c r="G94" s="176">
        <f>198.7</f>
        <v>198.7</v>
      </c>
      <c r="H94" s="277">
        <f t="shared" si="10"/>
        <v>3576.6</v>
      </c>
      <c r="I94" s="254">
        <v>157.24</v>
      </c>
      <c r="J94" s="249">
        <f t="shared" si="2"/>
        <v>198.7</v>
      </c>
      <c r="K94" s="251"/>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row>
    <row r="95" spans="2:130" s="114" customFormat="1" ht="64.5" thickBot="1" x14ac:dyDescent="0.3">
      <c r="B95" s="190" t="s">
        <v>133</v>
      </c>
      <c r="C95" s="279" t="s">
        <v>234</v>
      </c>
      <c r="D95" s="278" t="s">
        <v>242</v>
      </c>
      <c r="E95" s="275" t="s">
        <v>50</v>
      </c>
      <c r="F95" s="8">
        <v>14</v>
      </c>
      <c r="G95" s="176">
        <f t="shared" ref="G95:G105" si="11">J115</f>
        <v>349.3</v>
      </c>
      <c r="H95" s="277">
        <f t="shared" si="10"/>
        <v>4890.2</v>
      </c>
      <c r="I95" s="116">
        <v>31.93</v>
      </c>
      <c r="J95" s="93">
        <f t="shared" si="2"/>
        <v>40.35</v>
      </c>
      <c r="K95" s="98"/>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row>
    <row r="96" spans="2:130" s="114" customFormat="1" ht="64.5" thickBot="1" x14ac:dyDescent="0.3">
      <c r="B96" s="190" t="s">
        <v>161</v>
      </c>
      <c r="C96" s="279" t="s">
        <v>235</v>
      </c>
      <c r="D96" s="278" t="s">
        <v>243</v>
      </c>
      <c r="E96" s="275" t="s">
        <v>50</v>
      </c>
      <c r="F96" s="8">
        <v>3</v>
      </c>
      <c r="G96" s="176">
        <f t="shared" si="11"/>
        <v>275.36</v>
      </c>
      <c r="H96" s="277">
        <f t="shared" si="10"/>
        <v>826.08</v>
      </c>
      <c r="I96" s="116">
        <v>157.80000000000001</v>
      </c>
      <c r="J96" s="93">
        <f t="shared" si="2"/>
        <v>199.41</v>
      </c>
      <c r="K96" s="98"/>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c r="DY96" s="102"/>
      <c r="DZ96" s="102"/>
    </row>
    <row r="97" spans="1:130" s="101" customFormat="1" ht="51.75" thickBot="1" x14ac:dyDescent="0.3">
      <c r="A97" s="97"/>
      <c r="B97" s="190" t="s">
        <v>162</v>
      </c>
      <c r="C97" s="279" t="s">
        <v>236</v>
      </c>
      <c r="D97" s="278" t="s">
        <v>244</v>
      </c>
      <c r="E97" s="275" t="s">
        <v>50</v>
      </c>
      <c r="F97" s="8">
        <v>10</v>
      </c>
      <c r="G97" s="176">
        <f t="shared" si="11"/>
        <v>170.07</v>
      </c>
      <c r="H97" s="277">
        <f t="shared" si="10"/>
        <v>1700.7</v>
      </c>
      <c r="I97" s="116">
        <v>26.5</v>
      </c>
      <c r="J97" s="93">
        <f t="shared" si="2"/>
        <v>33.49</v>
      </c>
      <c r="K97" s="98"/>
      <c r="L97" s="97"/>
      <c r="M97" s="97"/>
      <c r="N97" s="97"/>
      <c r="O97" s="195"/>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c r="DY97" s="102"/>
      <c r="DZ97" s="102"/>
    </row>
    <row r="98" spans="1:130" s="101" customFormat="1" ht="39" thickBot="1" x14ac:dyDescent="0.3">
      <c r="A98" s="97"/>
      <c r="B98" s="190" t="s">
        <v>163</v>
      </c>
      <c r="C98" s="281" t="s">
        <v>128</v>
      </c>
      <c r="D98" s="278" t="s">
        <v>105</v>
      </c>
      <c r="E98" s="172" t="s">
        <v>50</v>
      </c>
      <c r="F98" s="8">
        <v>12</v>
      </c>
      <c r="G98" s="176">
        <f t="shared" si="11"/>
        <v>549.99</v>
      </c>
      <c r="H98" s="277">
        <f t="shared" si="10"/>
        <v>6599.88</v>
      </c>
      <c r="I98" s="116">
        <v>32.06</v>
      </c>
      <c r="J98" s="93">
        <f t="shared" si="2"/>
        <v>40.51</v>
      </c>
      <c r="K98" s="98"/>
      <c r="L98" s="97"/>
      <c r="M98" s="97"/>
      <c r="N98" s="97"/>
      <c r="O98" s="195"/>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c r="DY98" s="102"/>
      <c r="DZ98" s="102"/>
    </row>
    <row r="99" spans="1:130" s="253" customFormat="1" ht="39" thickBot="1" x14ac:dyDescent="0.3">
      <c r="A99" s="250"/>
      <c r="B99" s="190" t="s">
        <v>164</v>
      </c>
      <c r="C99" s="279" t="s">
        <v>245</v>
      </c>
      <c r="D99" s="278" t="s">
        <v>247</v>
      </c>
      <c r="E99" s="275" t="s">
        <v>50</v>
      </c>
      <c r="F99" s="8">
        <v>39</v>
      </c>
      <c r="G99" s="176">
        <f t="shared" si="11"/>
        <v>137.72999999999999</v>
      </c>
      <c r="H99" s="277">
        <f t="shared" si="10"/>
        <v>5371.47</v>
      </c>
      <c r="I99" s="254"/>
      <c r="J99" s="249">
        <f t="shared" si="2"/>
        <v>0</v>
      </c>
      <c r="K99" s="251"/>
      <c r="L99" s="250"/>
      <c r="M99" s="250"/>
      <c r="N99" s="250"/>
      <c r="O99" s="195"/>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row>
    <row r="100" spans="1:130" s="253" customFormat="1" ht="39" thickBot="1" x14ac:dyDescent="0.3">
      <c r="A100" s="250"/>
      <c r="B100" s="190" t="s">
        <v>368</v>
      </c>
      <c r="C100" s="279" t="s">
        <v>246</v>
      </c>
      <c r="D100" s="278" t="s">
        <v>248</v>
      </c>
      <c r="E100" s="275" t="s">
        <v>50</v>
      </c>
      <c r="F100" s="8">
        <v>25</v>
      </c>
      <c r="G100" s="176">
        <f t="shared" si="11"/>
        <v>51.77</v>
      </c>
      <c r="H100" s="277">
        <f t="shared" si="10"/>
        <v>1294.25</v>
      </c>
      <c r="I100" s="254">
        <v>25.47</v>
      </c>
      <c r="J100" s="249">
        <f t="shared" si="2"/>
        <v>32.19</v>
      </c>
      <c r="K100" s="251"/>
      <c r="L100" s="250"/>
      <c r="M100" s="250"/>
      <c r="N100" s="250"/>
      <c r="O100" s="195"/>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row>
    <row r="101" spans="1:130" s="253" customFormat="1" ht="39" thickBot="1" x14ac:dyDescent="0.3">
      <c r="A101" s="250"/>
      <c r="B101" s="190" t="s">
        <v>369</v>
      </c>
      <c r="C101" s="279" t="s">
        <v>237</v>
      </c>
      <c r="D101" s="278" t="s">
        <v>249</v>
      </c>
      <c r="E101" s="275" t="s">
        <v>50</v>
      </c>
      <c r="F101" s="8">
        <v>12</v>
      </c>
      <c r="G101" s="176">
        <f t="shared" si="11"/>
        <v>48.36</v>
      </c>
      <c r="H101" s="277">
        <f t="shared" si="10"/>
        <v>580.32000000000005</v>
      </c>
      <c r="I101" s="254">
        <v>234.57</v>
      </c>
      <c r="J101" s="249">
        <f t="shared" si="2"/>
        <v>296.43</v>
      </c>
      <c r="K101" s="251"/>
      <c r="L101" s="250"/>
      <c r="M101" s="250"/>
      <c r="N101" s="250"/>
      <c r="O101" s="195"/>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row>
    <row r="102" spans="1:130" s="253" customFormat="1" ht="51.75" thickBot="1" x14ac:dyDescent="0.3">
      <c r="A102" s="250"/>
      <c r="B102" s="190" t="s">
        <v>370</v>
      </c>
      <c r="C102" s="279" t="s">
        <v>238</v>
      </c>
      <c r="D102" s="278" t="s">
        <v>250</v>
      </c>
      <c r="E102" s="275" t="s">
        <v>50</v>
      </c>
      <c r="F102" s="8">
        <v>13</v>
      </c>
      <c r="G102" s="176">
        <f t="shared" si="11"/>
        <v>95.02</v>
      </c>
      <c r="H102" s="277">
        <f t="shared" si="10"/>
        <v>1235.26</v>
      </c>
      <c r="I102" s="254"/>
      <c r="J102" s="249">
        <f t="shared" si="2"/>
        <v>0</v>
      </c>
      <c r="K102" s="251"/>
      <c r="L102" s="250"/>
      <c r="M102" s="250"/>
      <c r="N102" s="250"/>
      <c r="O102" s="195"/>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row>
    <row r="103" spans="1:130" s="253" customFormat="1" ht="64.5" thickBot="1" x14ac:dyDescent="0.3">
      <c r="A103" s="250"/>
      <c r="B103" s="190" t="s">
        <v>371</v>
      </c>
      <c r="C103" s="279" t="s">
        <v>239</v>
      </c>
      <c r="D103" s="278" t="s">
        <v>251</v>
      </c>
      <c r="E103" s="275" t="s">
        <v>50</v>
      </c>
      <c r="F103" s="8">
        <v>13</v>
      </c>
      <c r="G103" s="176">
        <f t="shared" si="11"/>
        <v>112.61</v>
      </c>
      <c r="H103" s="277">
        <f t="shared" si="10"/>
        <v>1463.93</v>
      </c>
      <c r="I103" s="254"/>
      <c r="J103" s="249">
        <f t="shared" si="2"/>
        <v>0</v>
      </c>
      <c r="K103" s="251"/>
      <c r="L103" s="250"/>
      <c r="M103" s="250"/>
      <c r="N103" s="250"/>
      <c r="O103" s="195"/>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row>
    <row r="104" spans="1:130" s="102" customFormat="1" ht="64.5" thickBot="1" x14ac:dyDescent="0.3">
      <c r="A104" s="97"/>
      <c r="B104" s="190" t="s">
        <v>502</v>
      </c>
      <c r="C104" s="279" t="s">
        <v>240</v>
      </c>
      <c r="D104" s="278" t="s">
        <v>252</v>
      </c>
      <c r="E104" s="275" t="s">
        <v>50</v>
      </c>
      <c r="F104" s="8">
        <v>6</v>
      </c>
      <c r="G104" s="176">
        <f t="shared" si="11"/>
        <v>199.97</v>
      </c>
      <c r="H104" s="277">
        <f t="shared" si="10"/>
        <v>1199.82</v>
      </c>
      <c r="I104" s="116">
        <v>42.43</v>
      </c>
      <c r="J104" s="93">
        <f t="shared" si="2"/>
        <v>53.62</v>
      </c>
      <c r="K104" s="98"/>
      <c r="L104" s="97"/>
      <c r="M104" s="97"/>
      <c r="N104" s="97"/>
      <c r="O104" s="195"/>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row>
    <row r="105" spans="1:130" s="102" customFormat="1" ht="26.25" thickBot="1" x14ac:dyDescent="0.3">
      <c r="A105" s="97"/>
      <c r="B105" s="190" t="s">
        <v>503</v>
      </c>
      <c r="C105" s="278" t="s">
        <v>253</v>
      </c>
      <c r="D105" s="278" t="s">
        <v>254</v>
      </c>
      <c r="E105" s="275" t="s">
        <v>50</v>
      </c>
      <c r="F105" s="8">
        <v>3</v>
      </c>
      <c r="G105" s="176">
        <f t="shared" si="11"/>
        <v>816.08</v>
      </c>
      <c r="H105" s="277">
        <f t="shared" si="10"/>
        <v>2448.2399999999998</v>
      </c>
      <c r="I105" s="116">
        <v>48.17</v>
      </c>
      <c r="J105" s="93">
        <f t="shared" si="2"/>
        <v>60.87</v>
      </c>
      <c r="K105" s="98"/>
      <c r="L105" s="195"/>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row>
    <row r="106" spans="1:130" s="102" customFormat="1" ht="39" thickBot="1" x14ac:dyDescent="0.3">
      <c r="A106" s="97"/>
      <c r="B106" s="190" t="s">
        <v>504</v>
      </c>
      <c r="C106" s="281" t="s">
        <v>128</v>
      </c>
      <c r="D106" s="278" t="s">
        <v>105</v>
      </c>
      <c r="E106" s="172" t="s">
        <v>50</v>
      </c>
      <c r="F106" s="8">
        <v>12</v>
      </c>
      <c r="G106" s="176">
        <v>435.22</v>
      </c>
      <c r="H106" s="277">
        <f t="shared" si="9"/>
        <v>5222.6400000000003</v>
      </c>
      <c r="I106" s="116">
        <v>23.95</v>
      </c>
      <c r="J106" s="93">
        <f t="shared" si="2"/>
        <v>30.27</v>
      </c>
      <c r="K106" s="98"/>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row>
    <row r="107" spans="1:130" s="102" customFormat="1" ht="77.25" thickBot="1" x14ac:dyDescent="0.3">
      <c r="A107" s="97"/>
      <c r="B107" s="190" t="s">
        <v>505</v>
      </c>
      <c r="C107" s="281" t="s">
        <v>151</v>
      </c>
      <c r="D107" s="278" t="s">
        <v>152</v>
      </c>
      <c r="E107" s="172" t="s">
        <v>50</v>
      </c>
      <c r="F107" s="8">
        <v>2</v>
      </c>
      <c r="G107" s="176">
        <v>749.64</v>
      </c>
      <c r="H107" s="277">
        <f t="shared" si="9"/>
        <v>1499.28</v>
      </c>
      <c r="I107" s="116">
        <v>19.97</v>
      </c>
      <c r="J107" s="93">
        <f t="shared" si="2"/>
        <v>25.24</v>
      </c>
      <c r="K107" s="98"/>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row>
    <row r="108" spans="1:130" s="185" customFormat="1" ht="12.75" x14ac:dyDescent="0.25">
      <c r="A108" s="100"/>
      <c r="B108" s="177" t="s">
        <v>188</v>
      </c>
      <c r="C108" s="178"/>
      <c r="D108" s="179" t="s">
        <v>29</v>
      </c>
      <c r="E108" s="180" t="s">
        <v>9</v>
      </c>
      <c r="F108" s="5"/>
      <c r="G108" s="181"/>
      <c r="H108" s="91">
        <f>SUM(H109:H127)</f>
        <v>159344.36000000002</v>
      </c>
      <c r="I108" s="116">
        <v>79.819999999999993</v>
      </c>
      <c r="J108" s="93">
        <f t="shared" si="2"/>
        <v>100.87</v>
      </c>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row>
    <row r="109" spans="1:130" s="185" customFormat="1" ht="38.25" x14ac:dyDescent="0.25">
      <c r="A109" s="100"/>
      <c r="B109" s="187" t="s">
        <v>189</v>
      </c>
      <c r="C109" s="173" t="s">
        <v>364</v>
      </c>
      <c r="D109" s="175" t="s">
        <v>365</v>
      </c>
      <c r="E109" s="172" t="s">
        <v>50</v>
      </c>
      <c r="F109" s="8">
        <v>1</v>
      </c>
      <c r="G109" s="174">
        <v>1079.48</v>
      </c>
      <c r="H109" s="188">
        <f>ROUND(G109*F109,2)</f>
        <v>1079.48</v>
      </c>
      <c r="I109" s="315">
        <v>347.59</v>
      </c>
      <c r="J109" s="314">
        <f t="shared" si="2"/>
        <v>439.25</v>
      </c>
      <c r="K109" s="317"/>
      <c r="L109" s="317"/>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row>
    <row r="110" spans="1:130" s="185" customFormat="1" ht="63.75" x14ac:dyDescent="0.25">
      <c r="A110" s="100"/>
      <c r="B110" s="187" t="s">
        <v>190</v>
      </c>
      <c r="C110" s="173" t="s">
        <v>366</v>
      </c>
      <c r="D110" s="175" t="s">
        <v>367</v>
      </c>
      <c r="E110" s="172" t="s">
        <v>50</v>
      </c>
      <c r="F110" s="8">
        <v>1</v>
      </c>
      <c r="G110" s="8">
        <v>114.82</v>
      </c>
      <c r="H110" s="188">
        <f>ROUND(G110*F110,2)</f>
        <v>114.82</v>
      </c>
      <c r="I110" s="116">
        <v>492.21</v>
      </c>
      <c r="J110" s="93">
        <f t="shared" si="2"/>
        <v>622.01</v>
      </c>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c r="DP110" s="100"/>
      <c r="DQ110" s="100"/>
      <c r="DR110" s="100"/>
      <c r="DS110" s="100"/>
      <c r="DT110" s="100"/>
      <c r="DU110" s="100"/>
      <c r="DV110" s="100"/>
      <c r="DW110" s="100"/>
      <c r="DX110" s="100"/>
      <c r="DY110" s="100"/>
      <c r="DZ110" s="100"/>
    </row>
    <row r="111" spans="1:130" s="185" customFormat="1" ht="38.25" x14ac:dyDescent="0.25">
      <c r="A111" s="100"/>
      <c r="B111" s="187" t="s">
        <v>506</v>
      </c>
      <c r="C111" s="173" t="s">
        <v>443</v>
      </c>
      <c r="D111" s="278" t="s">
        <v>160</v>
      </c>
      <c r="E111" s="172" t="s">
        <v>50</v>
      </c>
      <c r="F111" s="8">
        <v>1</v>
      </c>
      <c r="G111" s="176">
        <v>221.08</v>
      </c>
      <c r="H111" s="282">
        <f t="shared" ref="H111:H127" si="12">ROUND(G111*F111,2)</f>
        <v>221.08</v>
      </c>
      <c r="I111" s="116"/>
      <c r="J111" s="93"/>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c r="DP111" s="100"/>
      <c r="DQ111" s="100"/>
      <c r="DR111" s="100"/>
      <c r="DS111" s="100"/>
      <c r="DT111" s="100"/>
      <c r="DU111" s="100"/>
      <c r="DV111" s="100"/>
      <c r="DW111" s="100"/>
      <c r="DX111" s="100"/>
      <c r="DY111" s="100"/>
      <c r="DZ111" s="100"/>
    </row>
    <row r="112" spans="1:130" s="185" customFormat="1" ht="38.25" x14ac:dyDescent="0.25">
      <c r="A112" s="100"/>
      <c r="B112" s="187" t="s">
        <v>507</v>
      </c>
      <c r="C112" s="173" t="s">
        <v>130</v>
      </c>
      <c r="D112" s="278" t="s">
        <v>131</v>
      </c>
      <c r="E112" s="172" t="s">
        <v>50</v>
      </c>
      <c r="F112" s="8">
        <v>5</v>
      </c>
      <c r="G112" s="176">
        <v>294.23</v>
      </c>
      <c r="H112" s="282">
        <f t="shared" si="12"/>
        <v>1471.15</v>
      </c>
      <c r="I112" s="116">
        <v>114.82</v>
      </c>
      <c r="J112" s="93">
        <f t="shared" si="2"/>
        <v>145.1</v>
      </c>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c r="DP112" s="100"/>
      <c r="DQ112" s="100"/>
      <c r="DR112" s="100"/>
      <c r="DS112" s="100"/>
      <c r="DT112" s="100"/>
      <c r="DU112" s="100"/>
      <c r="DV112" s="100"/>
      <c r="DW112" s="100"/>
      <c r="DX112" s="100"/>
      <c r="DY112" s="100"/>
      <c r="DZ112" s="100"/>
    </row>
    <row r="113" spans="1:130" s="185" customFormat="1" ht="38.25" x14ac:dyDescent="0.25">
      <c r="A113" s="100"/>
      <c r="B113" s="187" t="s">
        <v>508</v>
      </c>
      <c r="C113" s="173" t="s">
        <v>165</v>
      </c>
      <c r="D113" s="278" t="s">
        <v>166</v>
      </c>
      <c r="E113" s="172" t="s">
        <v>50</v>
      </c>
      <c r="F113" s="8">
        <v>167</v>
      </c>
      <c r="G113" s="176">
        <v>120.3</v>
      </c>
      <c r="H113" s="282">
        <f t="shared" si="12"/>
        <v>20090.099999999999</v>
      </c>
      <c r="I113" s="116">
        <v>61.5</v>
      </c>
      <c r="J113" s="93">
        <f t="shared" si="2"/>
        <v>77.72</v>
      </c>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c r="DT113" s="100"/>
      <c r="DU113" s="100"/>
      <c r="DV113" s="100"/>
      <c r="DW113" s="100"/>
      <c r="DX113" s="100"/>
      <c r="DY113" s="100"/>
      <c r="DZ113" s="100"/>
    </row>
    <row r="114" spans="1:130" s="185" customFormat="1" ht="89.25" x14ac:dyDescent="0.25">
      <c r="A114" s="100"/>
      <c r="B114" s="187" t="s">
        <v>509</v>
      </c>
      <c r="C114" s="173" t="s">
        <v>261</v>
      </c>
      <c r="D114" s="278" t="s">
        <v>262</v>
      </c>
      <c r="E114" s="172" t="s">
        <v>104</v>
      </c>
      <c r="F114" s="8">
        <v>231</v>
      </c>
      <c r="G114" s="176">
        <f>J183</f>
        <v>329.02</v>
      </c>
      <c r="H114" s="282">
        <f t="shared" si="12"/>
        <v>76003.62</v>
      </c>
      <c r="I114" s="116">
        <v>492.21</v>
      </c>
      <c r="J114" s="93">
        <f t="shared" si="2"/>
        <v>622.01</v>
      </c>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row>
    <row r="115" spans="1:130" s="185" customFormat="1" ht="51" x14ac:dyDescent="0.25">
      <c r="A115" s="100"/>
      <c r="B115" s="187" t="s">
        <v>510</v>
      </c>
      <c r="C115" s="173" t="s">
        <v>263</v>
      </c>
      <c r="D115" s="278" t="s">
        <v>264</v>
      </c>
      <c r="E115" s="172" t="s">
        <v>50</v>
      </c>
      <c r="F115" s="8">
        <v>231</v>
      </c>
      <c r="G115" s="176">
        <f>J184</f>
        <v>30.33</v>
      </c>
      <c r="H115" s="282">
        <f t="shared" si="12"/>
        <v>7006.23</v>
      </c>
      <c r="I115" s="116">
        <v>276.41000000000003</v>
      </c>
      <c r="J115" s="93">
        <f t="shared" si="2"/>
        <v>349.3</v>
      </c>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c r="DU115" s="100"/>
      <c r="DV115" s="100"/>
      <c r="DW115" s="100"/>
      <c r="DX115" s="100"/>
      <c r="DY115" s="100"/>
      <c r="DZ115" s="100"/>
    </row>
    <row r="116" spans="1:130" s="185" customFormat="1" ht="51" x14ac:dyDescent="0.25">
      <c r="A116" s="100"/>
      <c r="B116" s="187" t="s">
        <v>511</v>
      </c>
      <c r="C116" s="173" t="s">
        <v>266</v>
      </c>
      <c r="D116" s="278" t="s">
        <v>265</v>
      </c>
      <c r="E116" s="172" t="s">
        <v>104</v>
      </c>
      <c r="F116" s="8">
        <v>165</v>
      </c>
      <c r="G116" s="176">
        <f>J185</f>
        <v>132.63</v>
      </c>
      <c r="H116" s="282">
        <f t="shared" si="12"/>
        <v>21883.95</v>
      </c>
      <c r="I116" s="116">
        <v>217.9</v>
      </c>
      <c r="J116" s="93">
        <f t="shared" si="2"/>
        <v>275.36</v>
      </c>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row>
    <row r="117" spans="1:130" s="185" customFormat="1" ht="76.5" x14ac:dyDescent="0.25">
      <c r="A117" s="100"/>
      <c r="B117" s="187" t="s">
        <v>512</v>
      </c>
      <c r="C117" s="173" t="s">
        <v>268</v>
      </c>
      <c r="D117" s="278" t="s">
        <v>267</v>
      </c>
      <c r="E117" s="172" t="s">
        <v>104</v>
      </c>
      <c r="F117" s="8">
        <v>75</v>
      </c>
      <c r="G117" s="176">
        <f>J186</f>
        <v>113.04</v>
      </c>
      <c r="H117" s="282">
        <f t="shared" si="12"/>
        <v>8478</v>
      </c>
      <c r="I117" s="116">
        <v>134.58000000000001</v>
      </c>
      <c r="J117" s="93">
        <f t="shared" si="2"/>
        <v>170.07</v>
      </c>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row>
    <row r="118" spans="1:130" s="185" customFormat="1" ht="51" x14ac:dyDescent="0.25">
      <c r="A118" s="100"/>
      <c r="B118" s="187" t="s">
        <v>513</v>
      </c>
      <c r="C118" s="173" t="s">
        <v>270</v>
      </c>
      <c r="D118" s="278" t="s">
        <v>269</v>
      </c>
      <c r="E118" s="172" t="s">
        <v>50</v>
      </c>
      <c r="F118" s="8">
        <v>45</v>
      </c>
      <c r="G118" s="176">
        <f>J187</f>
        <v>19.61</v>
      </c>
      <c r="H118" s="282">
        <f t="shared" si="12"/>
        <v>882.45</v>
      </c>
      <c r="I118" s="176">
        <v>435.22</v>
      </c>
      <c r="J118" s="93">
        <f t="shared" si="2"/>
        <v>549.99</v>
      </c>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J118" s="100"/>
      <c r="DK118" s="100"/>
      <c r="DL118" s="100"/>
      <c r="DM118" s="100"/>
      <c r="DN118" s="100"/>
      <c r="DO118" s="100"/>
      <c r="DP118" s="100"/>
      <c r="DQ118" s="100"/>
      <c r="DR118" s="100"/>
      <c r="DS118" s="100"/>
      <c r="DT118" s="100"/>
      <c r="DU118" s="100"/>
      <c r="DV118" s="100"/>
      <c r="DW118" s="100"/>
      <c r="DX118" s="100"/>
      <c r="DY118" s="100"/>
      <c r="DZ118" s="100"/>
    </row>
    <row r="119" spans="1:130" s="185" customFormat="1" ht="12.75" x14ac:dyDescent="0.25">
      <c r="A119" s="100"/>
      <c r="B119" s="187"/>
      <c r="C119" s="173"/>
      <c r="D119" s="278" t="s">
        <v>217</v>
      </c>
      <c r="E119" s="172"/>
      <c r="F119" s="8"/>
      <c r="G119" s="176"/>
      <c r="H119" s="282"/>
      <c r="I119" s="116">
        <v>108.99</v>
      </c>
      <c r="J119" s="93">
        <f t="shared" si="2"/>
        <v>137.72999999999999</v>
      </c>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c r="DP119" s="100"/>
      <c r="DQ119" s="100"/>
      <c r="DR119" s="100"/>
      <c r="DS119" s="100"/>
      <c r="DT119" s="100"/>
      <c r="DU119" s="100"/>
      <c r="DV119" s="100"/>
      <c r="DW119" s="100"/>
      <c r="DX119" s="100"/>
      <c r="DY119" s="100"/>
      <c r="DZ119" s="100"/>
    </row>
    <row r="120" spans="1:130" s="185" customFormat="1" ht="63.75" x14ac:dyDescent="0.25">
      <c r="A120" s="100"/>
      <c r="B120" s="187" t="s">
        <v>514</v>
      </c>
      <c r="C120" s="173" t="s">
        <v>219</v>
      </c>
      <c r="D120" s="278" t="s">
        <v>218</v>
      </c>
      <c r="E120" s="172" t="s">
        <v>50</v>
      </c>
      <c r="F120" s="8">
        <v>25</v>
      </c>
      <c r="G120" s="176">
        <f>J189</f>
        <v>120.15</v>
      </c>
      <c r="H120" s="282">
        <f t="shared" si="12"/>
        <v>3003.75</v>
      </c>
      <c r="I120" s="116">
        <v>40.97</v>
      </c>
      <c r="J120" s="93">
        <f t="shared" si="2"/>
        <v>51.77</v>
      </c>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c r="DU120" s="100"/>
      <c r="DV120" s="100"/>
      <c r="DW120" s="100"/>
      <c r="DX120" s="100"/>
      <c r="DY120" s="100"/>
      <c r="DZ120" s="100"/>
    </row>
    <row r="121" spans="1:130" s="185" customFormat="1" ht="25.5" x14ac:dyDescent="0.25">
      <c r="A121" s="100"/>
      <c r="B121" s="187" t="s">
        <v>515</v>
      </c>
      <c r="C121" s="173" t="s">
        <v>221</v>
      </c>
      <c r="D121" s="278" t="s">
        <v>220</v>
      </c>
      <c r="E121" s="172" t="s">
        <v>50</v>
      </c>
      <c r="F121" s="8">
        <v>40</v>
      </c>
      <c r="G121" s="176">
        <f>J190</f>
        <v>25.25</v>
      </c>
      <c r="H121" s="282">
        <f t="shared" si="12"/>
        <v>1010</v>
      </c>
      <c r="I121" s="116">
        <v>38.270000000000003</v>
      </c>
      <c r="J121" s="93">
        <f t="shared" si="2"/>
        <v>48.36</v>
      </c>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00"/>
      <c r="DK121" s="100"/>
      <c r="DL121" s="100"/>
      <c r="DM121" s="100"/>
      <c r="DN121" s="100"/>
      <c r="DO121" s="100"/>
      <c r="DP121" s="100"/>
      <c r="DQ121" s="100"/>
      <c r="DR121" s="100"/>
      <c r="DS121" s="100"/>
      <c r="DT121" s="100"/>
      <c r="DU121" s="100"/>
      <c r="DV121" s="100"/>
      <c r="DW121" s="100"/>
      <c r="DX121" s="100"/>
      <c r="DY121" s="100"/>
      <c r="DZ121" s="100"/>
    </row>
    <row r="122" spans="1:130" s="185" customFormat="1" ht="25.5" x14ac:dyDescent="0.25">
      <c r="A122" s="100"/>
      <c r="B122" s="187" t="s">
        <v>516</v>
      </c>
      <c r="C122" s="173" t="s">
        <v>223</v>
      </c>
      <c r="D122" s="278" t="s">
        <v>222</v>
      </c>
      <c r="E122" s="172" t="s">
        <v>50</v>
      </c>
      <c r="F122" s="8">
        <v>20</v>
      </c>
      <c r="G122" s="176">
        <f>J191</f>
        <v>32.57</v>
      </c>
      <c r="H122" s="282">
        <f t="shared" si="12"/>
        <v>651.4</v>
      </c>
      <c r="I122" s="116">
        <v>75.19</v>
      </c>
      <c r="J122" s="93">
        <f t="shared" si="2"/>
        <v>95.02</v>
      </c>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c r="DP122" s="100"/>
      <c r="DQ122" s="100"/>
      <c r="DR122" s="100"/>
      <c r="DS122" s="100"/>
      <c r="DT122" s="100"/>
      <c r="DU122" s="100"/>
      <c r="DV122" s="100"/>
      <c r="DW122" s="100"/>
      <c r="DX122" s="100"/>
      <c r="DY122" s="100"/>
      <c r="DZ122" s="100"/>
    </row>
    <row r="123" spans="1:130" s="185" customFormat="1" ht="25.5" x14ac:dyDescent="0.25">
      <c r="A123" s="100"/>
      <c r="B123" s="187" t="s">
        <v>517</v>
      </c>
      <c r="C123" s="173" t="s">
        <v>444</v>
      </c>
      <c r="D123" s="278" t="s">
        <v>255</v>
      </c>
      <c r="E123" s="172" t="s">
        <v>88</v>
      </c>
      <c r="F123" s="8">
        <v>128.47999999999999</v>
      </c>
      <c r="G123" s="176">
        <f>J192</f>
        <v>63.71</v>
      </c>
      <c r="H123" s="282">
        <f t="shared" si="12"/>
        <v>8185.46</v>
      </c>
      <c r="I123" s="116">
        <v>89.11</v>
      </c>
      <c r="J123" s="93">
        <f>ROUND(I123*1.2637,2)</f>
        <v>112.61</v>
      </c>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c r="DP123" s="100"/>
      <c r="DQ123" s="100"/>
      <c r="DR123" s="100"/>
      <c r="DS123" s="100"/>
      <c r="DT123" s="100"/>
      <c r="DU123" s="100"/>
      <c r="DV123" s="100"/>
      <c r="DW123" s="100"/>
      <c r="DX123" s="100"/>
      <c r="DY123" s="100"/>
      <c r="DZ123" s="100"/>
    </row>
    <row r="124" spans="1:130" s="185" customFormat="1" ht="38.25" x14ac:dyDescent="0.25">
      <c r="A124" s="100"/>
      <c r="B124" s="187" t="s">
        <v>518</v>
      </c>
      <c r="C124" s="173" t="s">
        <v>259</v>
      </c>
      <c r="D124" s="278" t="s">
        <v>260</v>
      </c>
      <c r="E124" s="172" t="s">
        <v>50</v>
      </c>
      <c r="F124" s="8">
        <v>14</v>
      </c>
      <c r="G124" s="176">
        <f>J193</f>
        <v>31.19</v>
      </c>
      <c r="H124" s="282">
        <f t="shared" si="12"/>
        <v>436.66</v>
      </c>
      <c r="I124" s="116">
        <v>158.24</v>
      </c>
      <c r="J124" s="93">
        <f>ROUND(I124*1.2637,2)</f>
        <v>199.97</v>
      </c>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c r="CN124" s="100"/>
      <c r="CO124" s="100"/>
      <c r="CP124" s="100"/>
      <c r="CQ124" s="100"/>
      <c r="CR124" s="100"/>
      <c r="CS124" s="100"/>
      <c r="CT124" s="100"/>
      <c r="CU124" s="100"/>
      <c r="CV124" s="100"/>
      <c r="CW124" s="100"/>
      <c r="CX124" s="100"/>
      <c r="CY124" s="100"/>
      <c r="CZ124" s="100"/>
      <c r="DA124" s="100"/>
      <c r="DB124" s="100"/>
      <c r="DC124" s="100"/>
      <c r="DD124" s="100"/>
      <c r="DE124" s="100"/>
      <c r="DF124" s="100"/>
      <c r="DG124" s="100"/>
      <c r="DH124" s="100"/>
      <c r="DI124" s="100"/>
      <c r="DJ124" s="100"/>
      <c r="DK124" s="100"/>
      <c r="DL124" s="100"/>
      <c r="DM124" s="100"/>
      <c r="DN124" s="100"/>
      <c r="DO124" s="100"/>
      <c r="DP124" s="100"/>
      <c r="DQ124" s="100"/>
      <c r="DR124" s="100"/>
      <c r="DS124" s="100"/>
      <c r="DT124" s="100"/>
      <c r="DU124" s="100"/>
      <c r="DV124" s="100"/>
      <c r="DW124" s="100"/>
      <c r="DX124" s="100"/>
      <c r="DY124" s="100"/>
      <c r="DZ124" s="100"/>
    </row>
    <row r="125" spans="1:130" s="185" customFormat="1" ht="12.75" x14ac:dyDescent="0.25">
      <c r="A125" s="100"/>
      <c r="B125" s="187"/>
      <c r="C125" s="173"/>
      <c r="D125" s="278" t="s">
        <v>456</v>
      </c>
      <c r="E125" s="172"/>
      <c r="F125" s="8"/>
      <c r="G125" s="176"/>
      <c r="H125" s="282"/>
      <c r="I125" s="116">
        <v>645.79</v>
      </c>
      <c r="J125" s="93">
        <f>ROUND(I125*1.2637,2)</f>
        <v>816.08</v>
      </c>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c r="DP125" s="100"/>
      <c r="DQ125" s="100"/>
      <c r="DR125" s="100"/>
      <c r="DS125" s="100"/>
      <c r="DT125" s="100"/>
      <c r="DU125" s="100"/>
      <c r="DV125" s="100"/>
      <c r="DW125" s="100"/>
      <c r="DX125" s="100"/>
      <c r="DY125" s="100"/>
      <c r="DZ125" s="100"/>
    </row>
    <row r="126" spans="1:130" s="185" customFormat="1" ht="63.75" x14ac:dyDescent="0.25">
      <c r="A126" s="252"/>
      <c r="B126" s="187" t="s">
        <v>519</v>
      </c>
      <c r="C126" s="173" t="s">
        <v>457</v>
      </c>
      <c r="D126" s="278" t="s">
        <v>458</v>
      </c>
      <c r="E126" s="172" t="s">
        <v>50</v>
      </c>
      <c r="F126" s="8">
        <v>3</v>
      </c>
      <c r="G126" s="176">
        <v>806.9</v>
      </c>
      <c r="H126" s="282">
        <f t="shared" si="12"/>
        <v>2420.6999999999998</v>
      </c>
      <c r="I126" s="254"/>
      <c r="J126" s="249">
        <f t="shared" ref="J126:J127" si="13">ROUND(I126*1.2637,2)</f>
        <v>0</v>
      </c>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2"/>
      <c r="CE126" s="252"/>
      <c r="CF126" s="252"/>
      <c r="CG126" s="252"/>
      <c r="CH126" s="252"/>
      <c r="CI126" s="252"/>
      <c r="CJ126" s="252"/>
      <c r="CK126" s="252"/>
      <c r="CL126" s="252"/>
      <c r="CM126" s="252"/>
      <c r="CN126" s="252"/>
      <c r="CO126" s="252"/>
      <c r="CP126" s="252"/>
      <c r="CQ126" s="252"/>
      <c r="CR126" s="252"/>
      <c r="CS126" s="252"/>
      <c r="CT126" s="252"/>
      <c r="CU126" s="252"/>
      <c r="CV126" s="252"/>
      <c r="CW126" s="252"/>
      <c r="CX126" s="252"/>
      <c r="CY126" s="252"/>
      <c r="CZ126" s="252"/>
      <c r="DA126" s="252"/>
      <c r="DB126" s="252"/>
      <c r="DC126" s="252"/>
      <c r="DD126" s="252"/>
      <c r="DE126" s="252"/>
      <c r="DF126" s="252"/>
      <c r="DG126" s="252"/>
      <c r="DH126" s="252"/>
      <c r="DI126" s="252"/>
      <c r="DJ126" s="252"/>
      <c r="DK126" s="252"/>
      <c r="DL126" s="252"/>
      <c r="DM126" s="252"/>
      <c r="DN126" s="252"/>
      <c r="DO126" s="252"/>
      <c r="DP126" s="252"/>
      <c r="DQ126" s="252"/>
      <c r="DR126" s="252"/>
      <c r="DS126" s="252"/>
      <c r="DT126" s="252"/>
      <c r="DU126" s="252"/>
      <c r="DV126" s="252"/>
      <c r="DW126" s="252"/>
      <c r="DX126" s="252"/>
      <c r="DY126" s="252"/>
      <c r="DZ126" s="252"/>
    </row>
    <row r="127" spans="1:130" s="185" customFormat="1" ht="25.5" x14ac:dyDescent="0.25">
      <c r="A127" s="252"/>
      <c r="B127" s="187" t="s">
        <v>520</v>
      </c>
      <c r="C127" s="173" t="s">
        <v>459</v>
      </c>
      <c r="D127" s="278" t="s">
        <v>460</v>
      </c>
      <c r="E127" s="172" t="s">
        <v>50</v>
      </c>
      <c r="F127" s="8">
        <v>1</v>
      </c>
      <c r="G127" s="176">
        <v>6405.51</v>
      </c>
      <c r="H127" s="282">
        <f t="shared" si="12"/>
        <v>6405.51</v>
      </c>
      <c r="I127" s="254">
        <v>638.52</v>
      </c>
      <c r="J127" s="249">
        <f t="shared" si="13"/>
        <v>806.9</v>
      </c>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c r="BA127" s="252"/>
      <c r="BB127" s="252"/>
      <c r="BC127" s="252"/>
      <c r="BD127" s="252"/>
      <c r="BE127" s="252"/>
      <c r="BF127" s="252"/>
      <c r="BG127" s="252"/>
      <c r="BH127" s="252"/>
      <c r="BI127" s="252"/>
      <c r="BJ127" s="252"/>
      <c r="BK127" s="252"/>
      <c r="BL127" s="252"/>
      <c r="BM127" s="252"/>
      <c r="BN127" s="252"/>
      <c r="BO127" s="252"/>
      <c r="BP127" s="252"/>
      <c r="BQ127" s="252"/>
      <c r="BR127" s="252"/>
      <c r="BS127" s="252"/>
      <c r="BT127" s="252"/>
      <c r="BU127" s="252"/>
      <c r="BV127" s="252"/>
      <c r="BW127" s="252"/>
      <c r="BX127" s="252"/>
      <c r="BY127" s="252"/>
      <c r="BZ127" s="252"/>
      <c r="CA127" s="252"/>
      <c r="CB127" s="252"/>
      <c r="CC127" s="252"/>
      <c r="CD127" s="252"/>
      <c r="CE127" s="252"/>
      <c r="CF127" s="252"/>
      <c r="CG127" s="252"/>
      <c r="CH127" s="252"/>
      <c r="CI127" s="252"/>
      <c r="CJ127" s="252"/>
      <c r="CK127" s="252"/>
      <c r="CL127" s="252"/>
      <c r="CM127" s="252"/>
      <c r="CN127" s="252"/>
      <c r="CO127" s="252"/>
      <c r="CP127" s="252"/>
      <c r="CQ127" s="252"/>
      <c r="CR127" s="252"/>
      <c r="CS127" s="252"/>
      <c r="CT127" s="252"/>
      <c r="CU127" s="252"/>
      <c r="CV127" s="252"/>
      <c r="CW127" s="252"/>
      <c r="CX127" s="252"/>
      <c r="CY127" s="252"/>
      <c r="CZ127" s="252"/>
      <c r="DA127" s="252"/>
      <c r="DB127" s="252"/>
      <c r="DC127" s="252"/>
      <c r="DD127" s="252"/>
      <c r="DE127" s="252"/>
      <c r="DF127" s="252"/>
      <c r="DG127" s="252"/>
      <c r="DH127" s="252"/>
      <c r="DI127" s="252"/>
      <c r="DJ127" s="252"/>
      <c r="DK127" s="252"/>
      <c r="DL127" s="252"/>
      <c r="DM127" s="252"/>
      <c r="DN127" s="252"/>
      <c r="DO127" s="252"/>
      <c r="DP127" s="252"/>
      <c r="DQ127" s="252"/>
      <c r="DR127" s="252"/>
      <c r="DS127" s="252"/>
      <c r="DT127" s="252"/>
      <c r="DU127" s="252"/>
      <c r="DV127" s="252"/>
      <c r="DW127" s="252"/>
      <c r="DX127" s="252"/>
      <c r="DY127" s="252"/>
      <c r="DZ127" s="252"/>
    </row>
    <row r="128" spans="1:130" s="185" customFormat="1" ht="12.75" x14ac:dyDescent="0.25">
      <c r="A128" s="252"/>
      <c r="B128" s="177" t="s">
        <v>521</v>
      </c>
      <c r="C128" s="178"/>
      <c r="D128" s="179" t="s">
        <v>191</v>
      </c>
      <c r="E128" s="180" t="s">
        <v>9</v>
      </c>
      <c r="F128" s="5"/>
      <c r="G128" s="181"/>
      <c r="H128" s="241">
        <f>H129+H130</f>
        <v>26031.8</v>
      </c>
      <c r="I128" s="254"/>
      <c r="J128" s="249"/>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252"/>
      <c r="CC128" s="252"/>
      <c r="CD128" s="252"/>
      <c r="CE128" s="252"/>
      <c r="CF128" s="252"/>
      <c r="CG128" s="252"/>
      <c r="CH128" s="252"/>
      <c r="CI128" s="252"/>
      <c r="CJ128" s="252"/>
      <c r="CK128" s="252"/>
      <c r="CL128" s="252"/>
      <c r="CM128" s="252"/>
      <c r="CN128" s="252"/>
      <c r="CO128" s="252"/>
      <c r="CP128" s="252"/>
      <c r="CQ128" s="252"/>
      <c r="CR128" s="252"/>
      <c r="CS128" s="252"/>
      <c r="CT128" s="252"/>
      <c r="CU128" s="252"/>
      <c r="CV128" s="252"/>
      <c r="CW128" s="252"/>
      <c r="CX128" s="252"/>
      <c r="CY128" s="252"/>
      <c r="CZ128" s="252"/>
      <c r="DA128" s="252"/>
      <c r="DB128" s="252"/>
      <c r="DC128" s="252"/>
      <c r="DD128" s="252"/>
      <c r="DE128" s="252"/>
      <c r="DF128" s="252"/>
      <c r="DG128" s="252"/>
      <c r="DH128" s="252"/>
      <c r="DI128" s="252"/>
      <c r="DJ128" s="252"/>
      <c r="DK128" s="252"/>
      <c r="DL128" s="252"/>
      <c r="DM128" s="252"/>
      <c r="DN128" s="252"/>
      <c r="DO128" s="252"/>
      <c r="DP128" s="252"/>
      <c r="DQ128" s="252"/>
      <c r="DR128" s="252"/>
      <c r="DS128" s="252"/>
      <c r="DT128" s="252"/>
      <c r="DU128" s="252"/>
      <c r="DV128" s="252"/>
      <c r="DW128" s="252"/>
      <c r="DX128" s="252"/>
      <c r="DY128" s="252"/>
      <c r="DZ128" s="252"/>
    </row>
    <row r="129" spans="1:130" s="185" customFormat="1" ht="25.5" x14ac:dyDescent="0.25">
      <c r="A129" s="252"/>
      <c r="B129" s="187" t="s">
        <v>522</v>
      </c>
      <c r="C129" s="18" t="s">
        <v>193</v>
      </c>
      <c r="D129" s="17" t="s">
        <v>192</v>
      </c>
      <c r="E129" s="19" t="s">
        <v>86</v>
      </c>
      <c r="F129" s="8">
        <v>1954.34</v>
      </c>
      <c r="G129" s="174">
        <v>11.69</v>
      </c>
      <c r="H129" s="188">
        <f>ROUND(G129*F129,2)</f>
        <v>22846.23</v>
      </c>
      <c r="I129" s="315"/>
      <c r="J129" s="314"/>
      <c r="K129" s="317"/>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c r="BE129" s="252"/>
      <c r="BF129" s="252"/>
      <c r="BG129" s="252"/>
      <c r="BH129" s="252"/>
      <c r="BI129" s="252"/>
      <c r="BJ129" s="252"/>
      <c r="BK129" s="252"/>
      <c r="BL129" s="252"/>
      <c r="BM129" s="252"/>
      <c r="BN129" s="252"/>
      <c r="BO129" s="252"/>
      <c r="BP129" s="252"/>
      <c r="BQ129" s="252"/>
      <c r="BR129" s="252"/>
      <c r="BS129" s="252"/>
      <c r="BT129" s="252"/>
      <c r="BU129" s="252"/>
      <c r="BV129" s="252"/>
      <c r="BW129" s="252"/>
      <c r="BX129" s="252"/>
      <c r="BY129" s="252"/>
      <c r="BZ129" s="25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52"/>
      <c r="DQ129" s="252"/>
      <c r="DR129" s="252"/>
      <c r="DS129" s="252"/>
      <c r="DT129" s="252"/>
      <c r="DU129" s="252"/>
      <c r="DV129" s="252"/>
      <c r="DW129" s="252"/>
      <c r="DX129" s="252"/>
      <c r="DY129" s="252"/>
      <c r="DZ129" s="252"/>
    </row>
    <row r="130" spans="1:130" s="100" customFormat="1" ht="25.5" x14ac:dyDescent="0.25">
      <c r="B130" s="187" t="s">
        <v>523</v>
      </c>
      <c r="C130" s="18" t="s">
        <v>492</v>
      </c>
      <c r="D130" s="17" t="s">
        <v>194</v>
      </c>
      <c r="E130" s="19" t="s">
        <v>86</v>
      </c>
      <c r="F130" s="8">
        <v>1954.34</v>
      </c>
      <c r="G130" s="174">
        <v>1.63</v>
      </c>
      <c r="H130" s="188">
        <f>ROUND(G130*F130,2)</f>
        <v>3185.57</v>
      </c>
      <c r="I130" s="311">
        <v>65.67</v>
      </c>
      <c r="J130" s="249">
        <f t="shared" si="2"/>
        <v>82.99</v>
      </c>
      <c r="K130" s="319"/>
      <c r="L130" s="318"/>
    </row>
    <row r="131" spans="1:130" s="100" customFormat="1" ht="13.5" thickBot="1" x14ac:dyDescent="0.3">
      <c r="B131" s="330" t="s">
        <v>35</v>
      </c>
      <c r="C131" s="331"/>
      <c r="D131" s="332"/>
      <c r="E131" s="1" t="s">
        <v>9</v>
      </c>
      <c r="F131" s="128"/>
      <c r="G131" s="21"/>
      <c r="H131" s="129">
        <f>H15+H19+H28+H37+H42+H59+H72+H76+H84+H108+H128</f>
        <v>2266367.5599999996</v>
      </c>
      <c r="I131" s="116">
        <v>344.4</v>
      </c>
      <c r="J131" s="93">
        <f t="shared" si="2"/>
        <v>435.22</v>
      </c>
      <c r="K131" s="98"/>
    </row>
    <row r="132" spans="1:130" s="100" customFormat="1" ht="13.5" thickBot="1" x14ac:dyDescent="0.3">
      <c r="B132" s="333" t="s">
        <v>496</v>
      </c>
      <c r="C132" s="334"/>
      <c r="D132" s="334"/>
      <c r="E132" s="334"/>
      <c r="F132" s="334"/>
      <c r="G132" s="334"/>
      <c r="H132" s="335"/>
      <c r="I132" s="116">
        <v>593.21</v>
      </c>
      <c r="J132" s="93">
        <f t="shared" si="2"/>
        <v>749.64</v>
      </c>
      <c r="K132" s="98"/>
    </row>
    <row r="133" spans="1:130" s="100" customFormat="1" ht="12.75" x14ac:dyDescent="0.25">
      <c r="B133" s="10"/>
      <c r="C133" s="10"/>
      <c r="D133" s="10"/>
      <c r="E133" s="10"/>
      <c r="F133" s="11"/>
      <c r="G133" s="11"/>
      <c r="H133" s="12"/>
      <c r="I133" s="116"/>
      <c r="J133" s="93"/>
      <c r="K133" s="98"/>
    </row>
    <row r="134" spans="1:130" s="100" customFormat="1" ht="12.75" x14ac:dyDescent="0.25">
      <c r="B134" s="10"/>
      <c r="C134" s="10"/>
      <c r="D134" s="10"/>
      <c r="E134" s="10"/>
      <c r="F134" s="11"/>
      <c r="G134" s="11"/>
      <c r="H134" s="12"/>
      <c r="I134" s="116">
        <v>6.41</v>
      </c>
      <c r="J134" s="93">
        <f t="shared" si="2"/>
        <v>8.1</v>
      </c>
      <c r="K134" s="98"/>
    </row>
    <row r="135" spans="1:130" s="100" customFormat="1" ht="63.75" customHeight="1" x14ac:dyDescent="0.25">
      <c r="B135" s="10"/>
      <c r="C135" s="10"/>
      <c r="D135" s="10"/>
      <c r="E135" s="10"/>
      <c r="F135" s="11"/>
      <c r="G135" s="11"/>
      <c r="H135" s="12"/>
      <c r="I135" s="116">
        <v>37.21</v>
      </c>
      <c r="J135" s="93">
        <f t="shared" si="2"/>
        <v>47.02</v>
      </c>
      <c r="K135" s="98"/>
    </row>
    <row r="136" spans="1:130" s="100" customFormat="1" ht="12.75" x14ac:dyDescent="0.25">
      <c r="B136" s="10"/>
      <c r="C136" s="10"/>
      <c r="D136" s="10"/>
      <c r="E136" s="10"/>
      <c r="F136" s="11"/>
      <c r="G136" s="11"/>
      <c r="H136" s="12"/>
      <c r="I136" s="116">
        <v>13.05</v>
      </c>
      <c r="J136" s="93">
        <f t="shared" si="2"/>
        <v>16.489999999999998</v>
      </c>
      <c r="K136" s="98"/>
    </row>
    <row r="137" spans="1:130" s="100" customFormat="1" ht="12.75" x14ac:dyDescent="0.25">
      <c r="B137" s="10"/>
      <c r="C137" s="10"/>
      <c r="D137" s="10"/>
      <c r="E137" s="10"/>
      <c r="F137" s="11"/>
      <c r="G137" s="11"/>
      <c r="H137" s="12"/>
      <c r="I137" s="116">
        <v>5.95</v>
      </c>
      <c r="J137" s="95">
        <f t="shared" si="2"/>
        <v>7.52</v>
      </c>
      <c r="K137" s="98"/>
    </row>
    <row r="138" spans="1:130" s="252" customFormat="1" ht="12.75" x14ac:dyDescent="0.25">
      <c r="B138" s="10"/>
      <c r="C138" s="10"/>
      <c r="D138" s="10"/>
      <c r="E138" s="10"/>
      <c r="F138" s="11"/>
      <c r="G138" s="11"/>
      <c r="H138" s="12"/>
      <c r="I138" s="254"/>
      <c r="J138" s="95"/>
      <c r="K138" s="251"/>
    </row>
    <row r="139" spans="1:130" s="252" customFormat="1" ht="12.75" x14ac:dyDescent="0.25">
      <c r="B139" s="10"/>
      <c r="C139" s="10"/>
      <c r="D139" s="10"/>
      <c r="E139" s="10"/>
      <c r="F139" s="11"/>
      <c r="G139" s="11"/>
      <c r="H139" s="12"/>
      <c r="I139" s="254"/>
      <c r="J139" s="95"/>
      <c r="K139" s="251"/>
    </row>
    <row r="140" spans="1:130" s="100" customFormat="1" ht="12.75" x14ac:dyDescent="0.25">
      <c r="B140" s="10"/>
      <c r="C140" s="10"/>
      <c r="D140" s="10"/>
      <c r="E140" s="10"/>
      <c r="F140" s="11"/>
      <c r="G140" s="11"/>
      <c r="H140" s="12"/>
      <c r="I140" s="116">
        <v>8.2799999999999994</v>
      </c>
      <c r="J140" s="93">
        <f t="shared" si="2"/>
        <v>10.46</v>
      </c>
      <c r="K140" s="98"/>
    </row>
    <row r="141" spans="1:130" s="100" customFormat="1" ht="12.75" x14ac:dyDescent="0.25">
      <c r="B141" s="10"/>
      <c r="C141" s="10"/>
      <c r="D141" s="10"/>
      <c r="E141" s="10"/>
      <c r="F141" s="11"/>
      <c r="G141" s="11"/>
      <c r="H141" s="12"/>
      <c r="I141" s="116">
        <v>26.82</v>
      </c>
      <c r="J141" s="93">
        <f t="shared" si="2"/>
        <v>33.89</v>
      </c>
      <c r="K141" s="98"/>
    </row>
    <row r="142" spans="1:130" s="100" customFormat="1" ht="63.75" customHeight="1" x14ac:dyDescent="0.25">
      <c r="B142" s="10"/>
      <c r="C142" s="10"/>
      <c r="D142" s="10"/>
      <c r="E142" s="10"/>
      <c r="F142" s="11"/>
      <c r="G142" s="11"/>
      <c r="H142" s="12"/>
      <c r="I142" s="116">
        <v>22.32</v>
      </c>
      <c r="J142" s="93">
        <f t="shared" si="2"/>
        <v>28.21</v>
      </c>
      <c r="K142" s="98"/>
    </row>
    <row r="143" spans="1:130" s="100" customFormat="1" ht="63.75" customHeight="1" x14ac:dyDescent="0.25">
      <c r="B143" s="10"/>
      <c r="C143" s="10"/>
      <c r="D143" s="10"/>
      <c r="E143" s="10"/>
      <c r="F143" s="11"/>
      <c r="G143" s="11"/>
      <c r="H143" s="12"/>
      <c r="I143" s="116">
        <v>360</v>
      </c>
      <c r="J143" s="93">
        <f t="shared" si="2"/>
        <v>454.93</v>
      </c>
      <c r="K143" s="98"/>
    </row>
    <row r="144" spans="1:130" s="100" customFormat="1" ht="12.75" x14ac:dyDescent="0.25">
      <c r="B144" s="10"/>
      <c r="C144" s="10"/>
      <c r="D144" s="10"/>
      <c r="E144" s="10"/>
      <c r="F144" s="11"/>
      <c r="G144" s="11"/>
      <c r="H144" s="12"/>
      <c r="I144" s="254">
        <v>129.53</v>
      </c>
      <c r="J144" s="249">
        <f t="shared" si="2"/>
        <v>163.69</v>
      </c>
      <c r="K144" s="251"/>
      <c r="L144" s="252"/>
    </row>
    <row r="145" spans="2:12" s="100" customFormat="1" ht="12.75" x14ac:dyDescent="0.25">
      <c r="B145" s="10"/>
      <c r="C145" s="10"/>
      <c r="D145" s="10"/>
      <c r="E145" s="10"/>
      <c r="F145" s="11"/>
      <c r="G145" s="11"/>
      <c r="H145" s="12"/>
      <c r="I145" s="254">
        <v>276.41000000000003</v>
      </c>
      <c r="J145" s="249">
        <f t="shared" si="2"/>
        <v>349.3</v>
      </c>
      <c r="K145" s="251"/>
      <c r="L145" s="252"/>
    </row>
    <row r="146" spans="2:12" s="100" customFormat="1" ht="63.75" customHeight="1" x14ac:dyDescent="0.25">
      <c r="B146" s="10"/>
      <c r="C146" s="10"/>
      <c r="D146" s="10"/>
      <c r="E146" s="10"/>
      <c r="F146" s="11"/>
      <c r="G146" s="11"/>
      <c r="H146" s="12"/>
      <c r="I146" s="116">
        <v>24.86</v>
      </c>
      <c r="J146" s="93">
        <f t="shared" si="2"/>
        <v>31.42</v>
      </c>
      <c r="K146" s="98"/>
    </row>
    <row r="147" spans="2:12" s="100" customFormat="1" ht="12.75" x14ac:dyDescent="0.25">
      <c r="B147" s="10"/>
      <c r="C147" s="10"/>
      <c r="D147" s="10"/>
      <c r="E147" s="10"/>
      <c r="F147" s="11"/>
      <c r="G147" s="11"/>
      <c r="H147" s="12"/>
      <c r="I147" s="116">
        <v>173.72</v>
      </c>
      <c r="J147" s="93">
        <f t="shared" si="2"/>
        <v>219.53</v>
      </c>
      <c r="K147" s="98"/>
    </row>
    <row r="148" spans="2:12" s="100" customFormat="1" ht="12.75" x14ac:dyDescent="0.25">
      <c r="B148" s="10"/>
      <c r="C148" s="10"/>
      <c r="D148" s="10"/>
      <c r="E148" s="10"/>
      <c r="F148" s="11"/>
      <c r="G148" s="11"/>
      <c r="H148" s="12"/>
      <c r="I148" s="116">
        <v>835.96</v>
      </c>
      <c r="J148" s="93">
        <f t="shared" si="2"/>
        <v>1056.4000000000001</v>
      </c>
      <c r="K148" s="98"/>
    </row>
    <row r="149" spans="2:12" s="100" customFormat="1" ht="12.75" x14ac:dyDescent="0.25">
      <c r="B149" s="10"/>
      <c r="C149" s="10"/>
      <c r="D149" s="10"/>
      <c r="E149" s="10"/>
      <c r="F149" s="11"/>
      <c r="G149" s="11"/>
      <c r="H149" s="12"/>
      <c r="I149" s="116">
        <v>504.12</v>
      </c>
      <c r="J149" s="93">
        <f t="shared" si="2"/>
        <v>637.05999999999995</v>
      </c>
      <c r="K149" s="98"/>
    </row>
    <row r="150" spans="2:12" s="100" customFormat="1" ht="12.75" x14ac:dyDescent="0.25">
      <c r="B150" s="10"/>
      <c r="C150" s="10"/>
      <c r="D150" s="10"/>
      <c r="E150" s="10"/>
      <c r="F150" s="11"/>
      <c r="G150" s="11"/>
      <c r="H150" s="12"/>
      <c r="I150" s="116">
        <v>888.66</v>
      </c>
      <c r="J150" s="93">
        <f t="shared" si="2"/>
        <v>1123</v>
      </c>
      <c r="K150" s="98"/>
    </row>
    <row r="151" spans="2:12" s="100" customFormat="1" ht="12.75" x14ac:dyDescent="0.25">
      <c r="B151" s="10"/>
      <c r="C151" s="10"/>
      <c r="D151" s="10"/>
      <c r="E151" s="10"/>
      <c r="F151" s="11"/>
      <c r="G151" s="11"/>
      <c r="H151" s="12"/>
      <c r="I151" s="116">
        <v>271.51</v>
      </c>
      <c r="J151" s="93">
        <f t="shared" si="2"/>
        <v>343.11</v>
      </c>
      <c r="K151" s="98"/>
    </row>
    <row r="152" spans="2:12" s="100" customFormat="1" ht="12.75" x14ac:dyDescent="0.25">
      <c r="B152" s="10"/>
      <c r="C152" s="10"/>
      <c r="D152" s="10"/>
      <c r="E152" s="10"/>
      <c r="F152" s="11"/>
      <c r="G152" s="11"/>
      <c r="H152" s="12"/>
      <c r="I152" s="116">
        <v>172.86</v>
      </c>
      <c r="J152" s="93">
        <f t="shared" si="2"/>
        <v>218.44</v>
      </c>
      <c r="K152" s="98"/>
    </row>
    <row r="153" spans="2:12" s="100" customFormat="1" ht="12.75" x14ac:dyDescent="0.25">
      <c r="B153" s="10"/>
      <c r="C153" s="10"/>
      <c r="D153" s="10"/>
      <c r="E153" s="10"/>
      <c r="F153" s="11"/>
      <c r="G153" s="11"/>
      <c r="H153" s="12"/>
      <c r="I153" s="116"/>
      <c r="J153" s="93">
        <f t="shared" si="2"/>
        <v>0</v>
      </c>
      <c r="K153" s="98"/>
    </row>
    <row r="154" spans="2:12" s="100" customFormat="1" ht="12.75" x14ac:dyDescent="0.25">
      <c r="B154" s="10"/>
      <c r="C154" s="10"/>
      <c r="D154" s="10"/>
      <c r="E154" s="10"/>
      <c r="F154" s="11"/>
      <c r="G154" s="11"/>
      <c r="H154" s="12"/>
      <c r="I154" s="116"/>
      <c r="J154" s="93">
        <f t="shared" si="2"/>
        <v>0</v>
      </c>
      <c r="K154" s="98"/>
    </row>
    <row r="155" spans="2:12" s="100" customFormat="1" ht="12.75" x14ac:dyDescent="0.25">
      <c r="B155" s="10"/>
      <c r="C155" s="10"/>
      <c r="D155" s="10"/>
      <c r="E155" s="10"/>
      <c r="F155" s="11"/>
      <c r="G155" s="11"/>
      <c r="H155" s="12"/>
      <c r="I155" s="116"/>
      <c r="J155" s="93">
        <f t="shared" si="2"/>
        <v>0</v>
      </c>
      <c r="K155" s="98"/>
    </row>
    <row r="156" spans="2:12" s="100" customFormat="1" ht="63.75" customHeight="1" x14ac:dyDescent="0.25">
      <c r="B156" s="10"/>
      <c r="C156" s="10"/>
      <c r="D156" s="10"/>
      <c r="E156" s="10"/>
      <c r="F156" s="11"/>
      <c r="G156" s="11"/>
      <c r="H156" s="12"/>
      <c r="I156" s="116">
        <v>81.5</v>
      </c>
      <c r="J156" s="93">
        <f t="shared" si="2"/>
        <v>102.99</v>
      </c>
      <c r="K156" s="98"/>
    </row>
    <row r="157" spans="2:12" s="100" customFormat="1" ht="12.75" x14ac:dyDescent="0.25">
      <c r="B157" s="10"/>
      <c r="C157" s="10"/>
      <c r="D157" s="10"/>
      <c r="E157" s="10"/>
      <c r="F157" s="11"/>
      <c r="G157" s="11"/>
      <c r="H157" s="12"/>
      <c r="I157" s="116">
        <v>286.87</v>
      </c>
      <c r="J157" s="93">
        <f t="shared" si="2"/>
        <v>362.52</v>
      </c>
      <c r="K157" s="98"/>
    </row>
    <row r="158" spans="2:12" s="100" customFormat="1" ht="12.75" x14ac:dyDescent="0.25">
      <c r="B158" s="10"/>
      <c r="C158" s="10"/>
      <c r="D158" s="10"/>
      <c r="E158" s="10"/>
      <c r="F158" s="11"/>
      <c r="G158" s="11"/>
      <c r="H158" s="12"/>
      <c r="I158" s="116"/>
      <c r="J158" s="93">
        <f t="shared" ref="J158:J200" si="14">ROUND(I158*1.2637,2)</f>
        <v>0</v>
      </c>
      <c r="K158" s="98"/>
    </row>
    <row r="159" spans="2:12" s="100" customFormat="1" ht="12.75" x14ac:dyDescent="0.25">
      <c r="B159" s="10"/>
      <c r="C159" s="10"/>
      <c r="D159" s="10"/>
      <c r="E159" s="10"/>
      <c r="F159" s="11"/>
      <c r="G159" s="11"/>
      <c r="H159" s="12"/>
      <c r="I159" s="116"/>
      <c r="J159" s="93">
        <f t="shared" si="14"/>
        <v>0</v>
      </c>
    </row>
    <row r="160" spans="2:12" s="100" customFormat="1" ht="12.75" x14ac:dyDescent="0.25">
      <c r="B160" s="10"/>
      <c r="C160" s="10"/>
      <c r="D160" s="10"/>
      <c r="E160" s="10"/>
      <c r="F160" s="11"/>
      <c r="G160" s="11"/>
      <c r="H160" s="12"/>
      <c r="I160" s="116"/>
      <c r="J160" s="93">
        <f t="shared" si="14"/>
        <v>0</v>
      </c>
    </row>
    <row r="161" spans="2:130" s="100" customFormat="1" ht="12.75" x14ac:dyDescent="0.25">
      <c r="B161" s="10"/>
      <c r="C161" s="10"/>
      <c r="D161" s="10"/>
      <c r="E161" s="10"/>
      <c r="F161" s="11"/>
      <c r="G161" s="11"/>
      <c r="H161" s="12"/>
      <c r="I161" s="116"/>
      <c r="J161" s="93">
        <f t="shared" si="14"/>
        <v>0</v>
      </c>
    </row>
    <row r="162" spans="2:130" s="100" customFormat="1" ht="12.75" x14ac:dyDescent="0.25">
      <c r="B162" s="10"/>
      <c r="C162" s="10"/>
      <c r="D162" s="10"/>
      <c r="E162" s="10"/>
      <c r="F162" s="11"/>
      <c r="G162" s="11"/>
      <c r="H162" s="12"/>
      <c r="I162" s="116"/>
      <c r="J162" s="93">
        <f t="shared" si="14"/>
        <v>0</v>
      </c>
    </row>
    <row r="163" spans="2:130" s="100" customFormat="1" ht="12.75" x14ac:dyDescent="0.25">
      <c r="B163" s="10"/>
      <c r="C163" s="10"/>
      <c r="D163" s="10"/>
      <c r="E163" s="10"/>
      <c r="F163" s="11"/>
      <c r="G163" s="11"/>
      <c r="H163" s="12"/>
      <c r="I163" s="116"/>
      <c r="J163" s="93">
        <f t="shared" si="14"/>
        <v>0</v>
      </c>
    </row>
    <row r="164" spans="2:130" s="100" customFormat="1" ht="12.75" x14ac:dyDescent="0.25">
      <c r="B164" s="10"/>
      <c r="C164" s="10"/>
      <c r="D164" s="10"/>
      <c r="E164" s="10"/>
      <c r="F164" s="11"/>
      <c r="G164" s="11"/>
      <c r="H164" s="12"/>
      <c r="I164" s="116"/>
      <c r="J164" s="93">
        <f t="shared" si="14"/>
        <v>0</v>
      </c>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row>
    <row r="165" spans="2:130" s="100" customFormat="1" ht="12.75" x14ac:dyDescent="0.25">
      <c r="B165" s="10"/>
      <c r="C165" s="10"/>
      <c r="D165" s="10"/>
      <c r="E165" s="10"/>
      <c r="F165" s="11"/>
      <c r="G165" s="11"/>
      <c r="H165" s="12"/>
      <c r="I165" s="116"/>
      <c r="J165" s="93">
        <f t="shared" si="14"/>
        <v>0</v>
      </c>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row>
    <row r="166" spans="2:130" s="100" customFormat="1" ht="12.75" x14ac:dyDescent="0.25">
      <c r="B166" s="10"/>
      <c r="C166" s="10"/>
      <c r="D166" s="10"/>
      <c r="E166" s="10"/>
      <c r="F166" s="11"/>
      <c r="G166" s="11"/>
      <c r="H166" s="12"/>
      <c r="I166" s="116"/>
      <c r="J166" s="93">
        <f t="shared" si="14"/>
        <v>0</v>
      </c>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row>
    <row r="167" spans="2:130" s="100" customFormat="1" ht="12.75" x14ac:dyDescent="0.25">
      <c r="B167" s="10"/>
      <c r="C167" s="10"/>
      <c r="D167" s="10"/>
      <c r="E167" s="10"/>
      <c r="F167" s="11"/>
      <c r="G167" s="11"/>
      <c r="H167" s="12"/>
      <c r="I167" s="116"/>
      <c r="J167" s="93">
        <f t="shared" si="14"/>
        <v>0</v>
      </c>
      <c r="K167" s="98"/>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row>
    <row r="168" spans="2:130" ht="12.75" x14ac:dyDescent="0.25">
      <c r="I168" s="116"/>
      <c r="J168" s="93">
        <f t="shared" si="14"/>
        <v>0</v>
      </c>
      <c r="K168" s="98"/>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row>
    <row r="169" spans="2:130" ht="12.75" x14ac:dyDescent="0.25">
      <c r="I169" s="116"/>
      <c r="J169" s="93">
        <f t="shared" si="14"/>
        <v>0</v>
      </c>
      <c r="K169" s="98"/>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row>
    <row r="170" spans="2:130" ht="12.75" x14ac:dyDescent="0.25">
      <c r="I170" s="116"/>
      <c r="J170" s="93">
        <f t="shared" si="14"/>
        <v>0</v>
      </c>
      <c r="K170" s="98"/>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row>
    <row r="171" spans="2:130" ht="12.75" x14ac:dyDescent="0.25">
      <c r="I171" s="120"/>
      <c r="J171" s="93">
        <f t="shared" si="14"/>
        <v>0</v>
      </c>
      <c r="K171" s="98"/>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row>
    <row r="172" spans="2:130" ht="12.75" x14ac:dyDescent="0.25">
      <c r="I172" s="120"/>
      <c r="J172" s="93">
        <f t="shared" si="14"/>
        <v>0</v>
      </c>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row>
    <row r="173" spans="2:130" ht="13.5" thickBot="1" x14ac:dyDescent="0.3">
      <c r="I173" s="120"/>
      <c r="J173" s="93">
        <f t="shared" si="14"/>
        <v>0</v>
      </c>
      <c r="K173" s="98"/>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123"/>
    </row>
    <row r="174" spans="2:130" ht="12.75" x14ac:dyDescent="0.25">
      <c r="I174" s="120"/>
      <c r="J174" s="93">
        <f t="shared" si="14"/>
        <v>0</v>
      </c>
      <c r="K174" s="98"/>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row>
    <row r="175" spans="2:130" ht="12.75" x14ac:dyDescent="0.25">
      <c r="I175" s="120"/>
      <c r="J175" s="93">
        <f t="shared" si="14"/>
        <v>0</v>
      </c>
      <c r="K175" s="98"/>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row>
    <row r="176" spans="2:130" ht="12.75" x14ac:dyDescent="0.25">
      <c r="I176" s="120"/>
      <c r="J176" s="93">
        <f t="shared" si="14"/>
        <v>0</v>
      </c>
      <c r="K176" s="98"/>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row>
    <row r="177" spans="9:52" ht="12.75" x14ac:dyDescent="0.25">
      <c r="I177" s="120"/>
      <c r="J177" s="93">
        <f t="shared" si="14"/>
        <v>0</v>
      </c>
      <c r="K177" s="98"/>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row>
    <row r="178" spans="9:52" ht="12.75" x14ac:dyDescent="0.25">
      <c r="I178" s="120"/>
      <c r="J178" s="93">
        <f t="shared" si="14"/>
        <v>0</v>
      </c>
      <c r="K178" s="98"/>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row>
    <row r="179" spans="9:52" ht="12.75" x14ac:dyDescent="0.25">
      <c r="I179" s="120"/>
      <c r="J179" s="93">
        <f t="shared" si="14"/>
        <v>0</v>
      </c>
      <c r="K179" s="98"/>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row>
    <row r="180" spans="9:52" ht="12.75" x14ac:dyDescent="0.25">
      <c r="I180" s="120"/>
      <c r="J180" s="93">
        <f t="shared" si="14"/>
        <v>0</v>
      </c>
      <c r="K180" s="98"/>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row>
    <row r="181" spans="9:52" ht="12.75" x14ac:dyDescent="0.25">
      <c r="I181" s="120"/>
      <c r="J181" s="93">
        <f t="shared" si="14"/>
        <v>0</v>
      </c>
      <c r="K181" s="98"/>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row>
    <row r="182" spans="9:52" ht="12.75" x14ac:dyDescent="0.25">
      <c r="I182" s="120"/>
      <c r="J182" s="93">
        <f t="shared" ref="J182:J193" si="15">ROUND(I182*1.2637,2)</f>
        <v>0</v>
      </c>
      <c r="K182" s="98"/>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row>
    <row r="183" spans="9:52" ht="75" customHeight="1" x14ac:dyDescent="0.25">
      <c r="I183" s="120">
        <v>260.36</v>
      </c>
      <c r="J183" s="93">
        <f t="shared" si="15"/>
        <v>329.02</v>
      </c>
      <c r="K183" s="98"/>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row>
    <row r="184" spans="9:52" ht="12.75" x14ac:dyDescent="0.25">
      <c r="I184" s="120">
        <v>24</v>
      </c>
      <c r="J184" s="93">
        <f t="shared" si="15"/>
        <v>30.33</v>
      </c>
      <c r="K184" s="98"/>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row>
    <row r="185" spans="9:52" ht="12.75" x14ac:dyDescent="0.25">
      <c r="I185" s="120">
        <v>104.95</v>
      </c>
      <c r="J185" s="93">
        <f t="shared" si="15"/>
        <v>132.63</v>
      </c>
      <c r="K185" s="98"/>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row>
    <row r="186" spans="9:52" ht="12.75" x14ac:dyDescent="0.25">
      <c r="I186" s="120">
        <v>89.45</v>
      </c>
      <c r="J186" s="93">
        <f t="shared" si="15"/>
        <v>113.04</v>
      </c>
      <c r="K186" s="98"/>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row>
    <row r="187" spans="9:52" ht="12.75" x14ac:dyDescent="0.25">
      <c r="I187" s="120">
        <v>15.52</v>
      </c>
      <c r="J187" s="93">
        <f t="shared" si="15"/>
        <v>19.61</v>
      </c>
      <c r="K187" s="98"/>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row>
    <row r="188" spans="9:52" ht="12.75" x14ac:dyDescent="0.25">
      <c r="I188" s="120"/>
      <c r="J188" s="93">
        <f t="shared" si="15"/>
        <v>0</v>
      </c>
      <c r="K188" s="98"/>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row>
    <row r="189" spans="9:52" ht="12.75" x14ac:dyDescent="0.25">
      <c r="I189" s="120">
        <v>95.08</v>
      </c>
      <c r="J189" s="93">
        <f t="shared" si="15"/>
        <v>120.15</v>
      </c>
      <c r="K189" s="98"/>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row>
    <row r="190" spans="9:52" ht="12.75" x14ac:dyDescent="0.25">
      <c r="I190" s="120">
        <v>19.98</v>
      </c>
      <c r="J190" s="93">
        <f t="shared" si="15"/>
        <v>25.25</v>
      </c>
      <c r="K190" s="98"/>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row>
    <row r="191" spans="9:52" ht="12.75" x14ac:dyDescent="0.25">
      <c r="I191" s="120">
        <v>25.77</v>
      </c>
      <c r="J191" s="93">
        <f t="shared" si="15"/>
        <v>32.57</v>
      </c>
      <c r="K191" s="98"/>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row>
    <row r="192" spans="9:52" ht="13.5" customHeight="1" x14ac:dyDescent="0.25">
      <c r="I192" s="120">
        <v>50.414999999999999</v>
      </c>
      <c r="J192" s="93">
        <f t="shared" si="15"/>
        <v>63.71</v>
      </c>
      <c r="K192" s="98"/>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row>
    <row r="193" spans="1:130" ht="12.75" x14ac:dyDescent="0.25">
      <c r="I193" s="242">
        <v>24.68</v>
      </c>
      <c r="J193" s="93">
        <f t="shared" si="15"/>
        <v>31.19</v>
      </c>
      <c r="K193" s="98"/>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row>
    <row r="194" spans="1:130" ht="12.75" x14ac:dyDescent="0.25">
      <c r="I194" s="120"/>
      <c r="J194" s="93"/>
      <c r="K194" s="98"/>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row>
    <row r="195" spans="1:130" ht="12.75" x14ac:dyDescent="0.25">
      <c r="I195" s="243"/>
      <c r="J195" s="93">
        <f t="shared" si="14"/>
        <v>0</v>
      </c>
      <c r="K195" s="98"/>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row>
    <row r="196" spans="1:130" ht="12.75" x14ac:dyDescent="0.25">
      <c r="I196" s="120">
        <v>9.25</v>
      </c>
      <c r="J196" s="93">
        <f t="shared" si="14"/>
        <v>11.69</v>
      </c>
      <c r="K196" s="98"/>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row>
    <row r="197" spans="1:130" ht="12.75" x14ac:dyDescent="0.25">
      <c r="I197" s="120"/>
      <c r="J197" s="93">
        <f t="shared" si="14"/>
        <v>0</v>
      </c>
      <c r="K197" s="98"/>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row>
    <row r="198" spans="1:130" ht="12.75" x14ac:dyDescent="0.25">
      <c r="I198" s="124"/>
      <c r="J198" s="93">
        <f t="shared" si="14"/>
        <v>0</v>
      </c>
      <c r="K198" s="98"/>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row>
    <row r="199" spans="1:130" ht="12.75" x14ac:dyDescent="0.25">
      <c r="I199" s="124"/>
      <c r="J199" s="93">
        <f t="shared" si="14"/>
        <v>0</v>
      </c>
      <c r="K199" s="98"/>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row>
    <row r="200" spans="1:130" ht="12.75" x14ac:dyDescent="0.25">
      <c r="I200" s="124"/>
      <c r="J200" s="93">
        <f t="shared" si="14"/>
        <v>0</v>
      </c>
      <c r="K200" s="98"/>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row>
    <row r="201" spans="1:130" ht="12.75" x14ac:dyDescent="0.25">
      <c r="A201" s="100"/>
      <c r="I201" s="12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row>
    <row r="202" spans="1:130" ht="12.75" x14ac:dyDescent="0.25">
      <c r="A202" s="100"/>
      <c r="I202" s="120"/>
      <c r="J202" s="100"/>
      <c r="K202" s="98"/>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row>
    <row r="203" spans="1:130" ht="12.75" x14ac:dyDescent="0.25">
      <c r="I203" s="120"/>
      <c r="J203" s="100"/>
      <c r="K203" s="98"/>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row>
    <row r="204" spans="1:130" ht="12.75" x14ac:dyDescent="0.25">
      <c r="I204" s="12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row>
    <row r="205" spans="1:130" ht="12.75" x14ac:dyDescent="0.25">
      <c r="I205" s="120"/>
      <c r="J205" s="100"/>
      <c r="K205" s="98"/>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row>
    <row r="206" spans="1:130" ht="19.5" customHeight="1" x14ac:dyDescent="0.25">
      <c r="I206" s="120"/>
      <c r="J206" s="100"/>
      <c r="K206" s="98"/>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row>
    <row r="207" spans="1:130" ht="15" x14ac:dyDescent="0.25">
      <c r="I207" s="125"/>
      <c r="J207" s="97"/>
      <c r="K207" s="98"/>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c r="DY207" s="99"/>
      <c r="DZ207" s="99"/>
    </row>
    <row r="208" spans="1:130" ht="12.75" x14ac:dyDescent="0.25">
      <c r="I208" s="120"/>
      <c r="J208" s="97"/>
      <c r="K208" s="98"/>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c r="DY208" s="99"/>
      <c r="DZ208" s="99"/>
    </row>
    <row r="209" spans="1:130" ht="12.75" x14ac:dyDescent="0.25">
      <c r="A209" s="114"/>
      <c r="I209" s="120"/>
      <c r="J209" s="97"/>
      <c r="K209" s="98"/>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row>
    <row r="210" spans="1:130" s="99" customFormat="1" ht="12.75" x14ac:dyDescent="0.25">
      <c r="A210" s="97"/>
      <c r="B210" s="10"/>
      <c r="C210" s="10"/>
      <c r="D210" s="10"/>
      <c r="E210" s="10"/>
      <c r="F210" s="11"/>
      <c r="G210" s="11"/>
      <c r="H210" s="12"/>
      <c r="I210" s="126"/>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row>
    <row r="211" spans="1:130" s="99" customFormat="1" ht="12.75" x14ac:dyDescent="0.25">
      <c r="A211" s="97"/>
      <c r="B211" s="10"/>
      <c r="C211" s="10"/>
      <c r="D211" s="10"/>
      <c r="E211" s="10"/>
      <c r="F211" s="11"/>
      <c r="G211" s="11"/>
      <c r="H211" s="12"/>
      <c r="I211" s="126"/>
      <c r="J211" s="98"/>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row>
    <row r="212" spans="1:130" s="99" customFormat="1" ht="12.75" x14ac:dyDescent="0.25">
      <c r="A212" s="97"/>
      <c r="B212" s="10"/>
      <c r="C212" s="10"/>
      <c r="D212" s="10"/>
      <c r="E212" s="10"/>
      <c r="F212" s="11"/>
      <c r="G212" s="11"/>
      <c r="H212" s="12"/>
      <c r="I212" s="126"/>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row>
    <row r="213" spans="1:130" ht="12.75" x14ac:dyDescent="0.25">
      <c r="A213" s="114"/>
      <c r="I213" s="126"/>
      <c r="J213" s="100"/>
      <c r="K213" s="98"/>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row>
    <row r="214" spans="1:130" ht="15.75" thickBot="1" x14ac:dyDescent="0.3">
      <c r="I214" s="126"/>
      <c r="J214" s="100"/>
      <c r="K214" s="98"/>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c r="CR214" s="131"/>
      <c r="CS214" s="131"/>
      <c r="CT214" s="131"/>
      <c r="CU214" s="131"/>
      <c r="CV214" s="131"/>
      <c r="CW214" s="131"/>
      <c r="CX214" s="131"/>
      <c r="CY214" s="131"/>
      <c r="CZ214" s="131"/>
      <c r="DA214" s="131"/>
      <c r="DB214" s="131"/>
      <c r="DC214" s="131"/>
      <c r="DD214" s="131"/>
      <c r="DE214" s="131"/>
      <c r="DF214" s="131"/>
      <c r="DG214" s="131"/>
      <c r="DH214" s="131"/>
      <c r="DI214" s="131"/>
      <c r="DJ214" s="131"/>
      <c r="DK214" s="131"/>
      <c r="DL214" s="131"/>
      <c r="DM214" s="131"/>
      <c r="DN214" s="131"/>
      <c r="DO214" s="131"/>
      <c r="DP214" s="131"/>
      <c r="DQ214" s="131"/>
      <c r="DR214" s="131"/>
      <c r="DS214" s="131"/>
      <c r="DT214" s="131"/>
      <c r="DU214" s="131"/>
      <c r="DV214" s="131"/>
      <c r="DW214" s="131"/>
      <c r="DX214" s="131"/>
      <c r="DY214" s="131"/>
      <c r="DZ214" s="131"/>
    </row>
    <row r="215" spans="1:130" ht="15" x14ac:dyDescent="0.25">
      <c r="I215" s="130"/>
      <c r="J215" s="130"/>
      <c r="K215" s="98"/>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row>
    <row r="216" spans="1:130" ht="43.5" customHeight="1" x14ac:dyDescent="0.25">
      <c r="K216" s="98"/>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row>
    <row r="217" spans="1:130" x14ac:dyDescent="0.25">
      <c r="K217" s="98"/>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row>
    <row r="218" spans="1:130" s="131" customFormat="1" ht="15.75" thickBot="1" x14ac:dyDescent="0.3">
      <c r="A218" s="127"/>
      <c r="B218" s="10"/>
      <c r="C218" s="10"/>
      <c r="D218" s="10"/>
      <c r="E218" s="10"/>
      <c r="F218" s="11"/>
      <c r="G218" s="11"/>
      <c r="H218" s="12"/>
      <c r="I218" s="10"/>
      <c r="J218" s="10"/>
      <c r="K218" s="13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row>
    <row r="219" spans="1:130" x14ac:dyDescent="0.25">
      <c r="A219" s="122"/>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row>
    <row r="220" spans="1:130" x14ac:dyDescent="0.25">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row>
    <row r="221" spans="1:130" x14ac:dyDescent="0.25">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row>
    <row r="222" spans="1:130" x14ac:dyDescent="0.25">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row>
    <row r="223" spans="1:130" x14ac:dyDescent="0.25">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row>
    <row r="224" spans="1:130" x14ac:dyDescent="0.25">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row>
    <row r="225" spans="11:52" x14ac:dyDescent="0.25">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row>
    <row r="226" spans="11:52" x14ac:dyDescent="0.25">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row>
    <row r="227" spans="11:52" x14ac:dyDescent="0.25">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row>
    <row r="228" spans="11:52" x14ac:dyDescent="0.25">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row>
    <row r="229" spans="11:52" x14ac:dyDescent="0.25">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row>
    <row r="230" spans="11:52" x14ac:dyDescent="0.25">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row>
    <row r="231" spans="11:52" x14ac:dyDescent="0.25">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row>
    <row r="232" spans="11:52" x14ac:dyDescent="0.25">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row>
    <row r="233" spans="11:52" x14ac:dyDescent="0.25">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row>
    <row r="234" spans="11:52" x14ac:dyDescent="0.25">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row>
    <row r="235" spans="11:52" x14ac:dyDescent="0.25">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row>
    <row r="236" spans="11:52" x14ac:dyDescent="0.25">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row>
    <row r="237" spans="11:52" x14ac:dyDescent="0.25">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row>
    <row r="238" spans="11:52" x14ac:dyDescent="0.25">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row>
    <row r="239" spans="11:52" x14ac:dyDescent="0.25">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row>
    <row r="240" spans="11:52" x14ac:dyDescent="0.25">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row>
  </sheetData>
  <mergeCells count="10">
    <mergeCell ref="B131:D131"/>
    <mergeCell ref="B132:H132"/>
    <mergeCell ref="B2:C6"/>
    <mergeCell ref="B12:H12"/>
    <mergeCell ref="B11:H11"/>
    <mergeCell ref="B7:H7"/>
    <mergeCell ref="B10:H10"/>
    <mergeCell ref="B8:H8"/>
    <mergeCell ref="B9:H9"/>
    <mergeCell ref="D2:H6"/>
  </mergeCells>
  <pageMargins left="0.51181102362204722" right="0.51181102362204722" top="0.78740157480314965" bottom="0.78740157480314965" header="0.31496062992125984" footer="0.31496062992125984"/>
  <pageSetup paperSize="9" scale="76"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topLeftCell="A42" zoomScaleNormal="100" zoomScaleSheetLayoutView="100" workbookViewId="0">
      <selection activeCell="K3" sqref="K1:K1048576"/>
    </sheetView>
  </sheetViews>
  <sheetFormatPr defaultRowHeight="15" x14ac:dyDescent="0.25"/>
  <cols>
    <col min="1" max="1" width="9.28515625" customWidth="1"/>
    <col min="2" max="2" width="41" bestFit="1" customWidth="1"/>
    <col min="3" max="3" width="14.7109375" bestFit="1" customWidth="1"/>
    <col min="4" max="4" width="11.42578125" bestFit="1" customWidth="1"/>
    <col min="5" max="9" width="14.7109375" customWidth="1"/>
    <col min="10" max="10" width="14.7109375" style="44" bestFit="1" customWidth="1"/>
    <col min="11" max="11" width="14.42578125" hidden="1" customWidth="1"/>
    <col min="12" max="12" width="13.140625" bestFit="1" customWidth="1"/>
    <col min="13" max="13" width="12" bestFit="1" customWidth="1"/>
  </cols>
  <sheetData>
    <row r="1" spans="1:12" ht="15" customHeight="1" x14ac:dyDescent="0.25">
      <c r="A1" s="363" t="s">
        <v>96</v>
      </c>
      <c r="B1" s="364"/>
      <c r="C1" s="364"/>
      <c r="D1" s="364"/>
      <c r="E1" s="364"/>
      <c r="F1" s="364"/>
      <c r="G1" s="364"/>
      <c r="H1" s="364"/>
      <c r="I1" s="364"/>
      <c r="J1" s="365"/>
    </row>
    <row r="2" spans="1:12" ht="15" customHeight="1" x14ac:dyDescent="0.25">
      <c r="A2" s="366"/>
      <c r="B2" s="367"/>
      <c r="C2" s="367"/>
      <c r="D2" s="367"/>
      <c r="E2" s="367"/>
      <c r="F2" s="367"/>
      <c r="G2" s="367"/>
      <c r="H2" s="367"/>
      <c r="I2" s="367"/>
      <c r="J2" s="368"/>
    </row>
    <row r="3" spans="1:12" ht="15" customHeight="1" x14ac:dyDescent="0.25">
      <c r="A3" s="366"/>
      <c r="B3" s="367"/>
      <c r="C3" s="367"/>
      <c r="D3" s="367"/>
      <c r="E3" s="367"/>
      <c r="F3" s="367"/>
      <c r="G3" s="367"/>
      <c r="H3" s="367"/>
      <c r="I3" s="367"/>
      <c r="J3" s="368"/>
    </row>
    <row r="4" spans="1:12" ht="15" customHeight="1" x14ac:dyDescent="0.25">
      <c r="A4" s="366"/>
      <c r="B4" s="367"/>
      <c r="C4" s="367"/>
      <c r="D4" s="367"/>
      <c r="E4" s="367"/>
      <c r="F4" s="367"/>
      <c r="G4" s="367"/>
      <c r="H4" s="367"/>
      <c r="I4" s="367"/>
      <c r="J4" s="368"/>
    </row>
    <row r="5" spans="1:12" ht="15" customHeight="1" x14ac:dyDescent="0.25">
      <c r="A5" s="366"/>
      <c r="B5" s="367"/>
      <c r="C5" s="367"/>
      <c r="D5" s="367"/>
      <c r="E5" s="367"/>
      <c r="F5" s="367"/>
      <c r="G5" s="367"/>
      <c r="H5" s="367"/>
      <c r="I5" s="367"/>
      <c r="J5" s="368"/>
    </row>
    <row r="6" spans="1:12" ht="15" customHeight="1" x14ac:dyDescent="0.25">
      <c r="A6" s="369" t="s">
        <v>61</v>
      </c>
      <c r="B6" s="370"/>
      <c r="C6" s="370"/>
      <c r="D6" s="370"/>
      <c r="E6" s="370"/>
      <c r="F6" s="370"/>
      <c r="G6" s="370"/>
      <c r="H6" s="370"/>
      <c r="I6" s="370"/>
      <c r="J6" s="371"/>
    </row>
    <row r="7" spans="1:12" ht="15" customHeight="1" x14ac:dyDescent="0.25">
      <c r="A7" s="372"/>
      <c r="B7" s="373"/>
      <c r="C7" s="373"/>
      <c r="D7" s="373"/>
      <c r="E7" s="373"/>
      <c r="F7" s="373"/>
      <c r="G7" s="373"/>
      <c r="H7" s="373"/>
      <c r="I7" s="373"/>
      <c r="J7" s="374"/>
    </row>
    <row r="8" spans="1:12" ht="15" customHeight="1" x14ac:dyDescent="0.25">
      <c r="A8" s="375" t="str">
        <f>Orçamento!B8</f>
        <v>OBJETO: CONSTRUÇÃO DA UPINHA DE PONTA DE PEDRA</v>
      </c>
      <c r="B8" s="376"/>
      <c r="C8" s="376"/>
      <c r="D8" s="376"/>
      <c r="E8" s="376"/>
      <c r="F8" s="376"/>
      <c r="G8" s="376"/>
      <c r="H8" s="376"/>
      <c r="I8" s="376"/>
      <c r="J8" s="377"/>
    </row>
    <row r="9" spans="1:12" ht="15" customHeight="1" x14ac:dyDescent="0.25">
      <c r="A9" s="375" t="str">
        <f>Orçamento!B9</f>
        <v>LOCAL: PONTA DE PEDRA, GOIANA/PE</v>
      </c>
      <c r="B9" s="376"/>
      <c r="C9" s="376"/>
      <c r="D9" s="376"/>
      <c r="E9" s="376"/>
      <c r="F9" s="376"/>
      <c r="G9" s="376"/>
      <c r="H9" s="376"/>
      <c r="I9" s="376"/>
      <c r="J9" s="377"/>
    </row>
    <row r="10" spans="1:12" ht="15" customHeight="1" x14ac:dyDescent="0.25">
      <c r="A10" s="375" t="str">
        <f>Orçamento!B10</f>
        <v>DATA: NOVEMBRO 2019</v>
      </c>
      <c r="B10" s="376"/>
      <c r="C10" s="376"/>
      <c r="D10" s="376"/>
      <c r="E10" s="376"/>
      <c r="F10" s="376"/>
      <c r="G10" s="376"/>
      <c r="H10" s="376"/>
      <c r="I10" s="376"/>
      <c r="J10" s="377"/>
    </row>
    <row r="11" spans="1:12" x14ac:dyDescent="0.25">
      <c r="A11" s="385" t="s">
        <v>3</v>
      </c>
      <c r="B11" s="386" t="s">
        <v>4</v>
      </c>
      <c r="C11" s="42" t="s">
        <v>62</v>
      </c>
      <c r="D11" s="42" t="s">
        <v>63</v>
      </c>
      <c r="E11" s="382" t="s">
        <v>64</v>
      </c>
      <c r="F11" s="383"/>
      <c r="G11" s="383"/>
      <c r="H11" s="383"/>
      <c r="I11" s="383"/>
      <c r="J11" s="384"/>
    </row>
    <row r="12" spans="1:12" x14ac:dyDescent="0.25">
      <c r="A12" s="385"/>
      <c r="B12" s="386"/>
      <c r="C12" s="42" t="s">
        <v>65</v>
      </c>
      <c r="D12" s="42" t="s">
        <v>66</v>
      </c>
      <c r="E12" s="147" t="s">
        <v>67</v>
      </c>
      <c r="F12" s="147" t="s">
        <v>68</v>
      </c>
      <c r="G12" s="146" t="s">
        <v>69</v>
      </c>
      <c r="H12" s="146" t="s">
        <v>94</v>
      </c>
      <c r="I12" s="146" t="s">
        <v>183</v>
      </c>
      <c r="J12" s="146" t="s">
        <v>184</v>
      </c>
    </row>
    <row r="13" spans="1:12" x14ac:dyDescent="0.25">
      <c r="A13" s="45"/>
      <c r="B13" s="46"/>
      <c r="C13" s="47"/>
      <c r="D13" s="387">
        <f>C14*100/C46</f>
        <v>6.7557620706501833</v>
      </c>
      <c r="E13" s="48">
        <v>0.16669999999999999</v>
      </c>
      <c r="F13" s="49">
        <v>0.1666</v>
      </c>
      <c r="G13" s="49">
        <v>0.16669999999999999</v>
      </c>
      <c r="H13" s="49">
        <v>0.16669999999999999</v>
      </c>
      <c r="I13" s="49">
        <v>0.1666</v>
      </c>
      <c r="J13" s="49">
        <v>0.16669999999999999</v>
      </c>
    </row>
    <row r="14" spans="1:12" x14ac:dyDescent="0.25">
      <c r="A14" s="50" t="s">
        <v>43</v>
      </c>
      <c r="B14" s="84" t="str">
        <f>[1]Orçamento!D15</f>
        <v>ADMINISTRAÇÃO LOCAL</v>
      </c>
      <c r="C14" s="149">
        <f>Orçamento!H15</f>
        <v>153110.39999999999</v>
      </c>
      <c r="D14" s="387"/>
      <c r="E14" s="51"/>
      <c r="F14" s="51"/>
      <c r="G14" s="182"/>
      <c r="H14" s="81"/>
      <c r="I14" s="182"/>
      <c r="J14" s="81"/>
    </row>
    <row r="15" spans="1:12" x14ac:dyDescent="0.25">
      <c r="A15" s="53"/>
      <c r="B15" s="54"/>
      <c r="C15" s="55"/>
      <c r="D15" s="387"/>
      <c r="E15" s="43">
        <f>C14*E13</f>
        <v>25523.503679999998</v>
      </c>
      <c r="F15" s="43">
        <f>C14*F13</f>
        <v>25508.192639999997</v>
      </c>
      <c r="G15" s="43">
        <f>C14*G13</f>
        <v>25523.503679999998</v>
      </c>
      <c r="H15" s="43">
        <f>C14*H13</f>
        <v>25523.503679999998</v>
      </c>
      <c r="I15" s="43">
        <f>C14*I13</f>
        <v>25508.192639999997</v>
      </c>
      <c r="J15" s="43">
        <f>C14*J13</f>
        <v>25523.503679999998</v>
      </c>
      <c r="K15" s="44">
        <f>SUM(E15:J15)</f>
        <v>153110.39999999999</v>
      </c>
      <c r="L15" s="200"/>
    </row>
    <row r="16" spans="1:12" x14ac:dyDescent="0.25">
      <c r="A16" s="45"/>
      <c r="B16" s="46"/>
      <c r="C16" s="150"/>
      <c r="D16" s="379">
        <f>C17*100/C46</f>
        <v>2.6261287467422103</v>
      </c>
      <c r="E16" s="48">
        <v>1</v>
      </c>
      <c r="F16" s="49"/>
      <c r="G16" s="148"/>
      <c r="H16" s="148"/>
      <c r="I16" s="148"/>
      <c r="J16" s="148"/>
      <c r="K16" s="44"/>
      <c r="L16" s="44"/>
    </row>
    <row r="17" spans="1:13" x14ac:dyDescent="0.25">
      <c r="A17" s="53" t="s">
        <v>12</v>
      </c>
      <c r="B17" s="84" t="str">
        <f>[1]Orçamento!D18</f>
        <v>SERVIÇOS PRELIMINARES</v>
      </c>
      <c r="C17" s="151">
        <f>Orçamento!H19</f>
        <v>59517.73</v>
      </c>
      <c r="D17" s="380"/>
      <c r="E17" s="51"/>
      <c r="F17" s="201"/>
      <c r="G17" s="201"/>
      <c r="H17" s="183"/>
      <c r="I17" s="183"/>
      <c r="J17" s="183"/>
      <c r="K17" s="44"/>
    </row>
    <row r="18" spans="1:13" x14ac:dyDescent="0.25">
      <c r="A18" s="53"/>
      <c r="B18" s="54"/>
      <c r="C18" s="152"/>
      <c r="D18" s="381"/>
      <c r="E18" s="43">
        <f>ROUND(C17*E16,2)</f>
        <v>59517.73</v>
      </c>
      <c r="F18" s="43"/>
      <c r="G18" s="43"/>
      <c r="H18" s="82"/>
      <c r="I18" s="82"/>
      <c r="J18" s="82"/>
      <c r="K18" s="44">
        <f>SUM(E18:J18)</f>
        <v>59517.73</v>
      </c>
    </row>
    <row r="19" spans="1:13" x14ac:dyDescent="0.25">
      <c r="A19" s="45"/>
      <c r="B19" s="46"/>
      <c r="C19" s="150"/>
      <c r="D19" s="379">
        <f>C20*100/C46</f>
        <v>27.337340197368519</v>
      </c>
      <c r="E19" s="49">
        <v>0.5</v>
      </c>
      <c r="F19" s="49">
        <v>0.3</v>
      </c>
      <c r="G19" s="49">
        <v>0.2</v>
      </c>
      <c r="H19" s="148"/>
      <c r="I19" s="148"/>
      <c r="J19" s="148"/>
      <c r="K19" s="44"/>
    </row>
    <row r="20" spans="1:13" x14ac:dyDescent="0.25">
      <c r="A20" s="53" t="s">
        <v>19</v>
      </c>
      <c r="B20" s="83" t="str">
        <f>[1]Orçamento!D31</f>
        <v>ALVENARIA E FUNDAÇÕES</v>
      </c>
      <c r="C20" s="151">
        <f>Orçamento!H28</f>
        <v>619564.61</v>
      </c>
      <c r="D20" s="380"/>
      <c r="E20" s="51"/>
      <c r="F20" s="51"/>
      <c r="G20" s="51"/>
      <c r="H20" s="57"/>
      <c r="I20" s="57"/>
      <c r="J20" s="202"/>
      <c r="K20" s="44"/>
      <c r="M20" s="44"/>
    </row>
    <row r="21" spans="1:13" ht="14.25" customHeight="1" x14ac:dyDescent="0.25">
      <c r="A21" s="53"/>
      <c r="B21" s="54"/>
      <c r="C21" s="152"/>
      <c r="D21" s="381"/>
      <c r="E21" s="43">
        <f>ROUND(C20*E19,2)</f>
        <v>309782.31</v>
      </c>
      <c r="F21" s="43">
        <f>ROUND(C20*F19,2)</f>
        <v>185869.38</v>
      </c>
      <c r="G21" s="43">
        <f>ROUND(C20*G19,2)</f>
        <v>123912.92</v>
      </c>
      <c r="H21" s="43"/>
      <c r="I21" s="43"/>
      <c r="J21" s="43"/>
      <c r="K21" s="44">
        <f>SUM(E21:J21)</f>
        <v>619564.61</v>
      </c>
    </row>
    <row r="22" spans="1:13" x14ac:dyDescent="0.25">
      <c r="A22" s="45"/>
      <c r="B22" s="46"/>
      <c r="C22" s="150"/>
      <c r="D22" s="379">
        <f>C23*100/C46</f>
        <v>4.2146746929258025</v>
      </c>
      <c r="E22" s="148"/>
      <c r="F22" s="148"/>
      <c r="G22" s="148"/>
      <c r="H22" s="148"/>
      <c r="I22" s="49">
        <v>0.5</v>
      </c>
      <c r="J22" s="49">
        <v>0.5</v>
      </c>
      <c r="K22" s="44"/>
    </row>
    <row r="23" spans="1:13" x14ac:dyDescent="0.25">
      <c r="A23" s="53" t="s">
        <v>23</v>
      </c>
      <c r="B23" s="84" t="str">
        <f>[1]Orçamento!D41</f>
        <v>PINTURA</v>
      </c>
      <c r="C23" s="151">
        <f>Orçamento!H37</f>
        <v>95520.01999999999</v>
      </c>
      <c r="D23" s="380"/>
      <c r="E23" s="57"/>
      <c r="F23" s="57"/>
      <c r="G23" s="202"/>
      <c r="H23" s="82"/>
      <c r="I23" s="182"/>
      <c r="J23" s="81"/>
      <c r="K23" s="44"/>
    </row>
    <row r="24" spans="1:13" x14ac:dyDescent="0.25">
      <c r="A24" s="53"/>
      <c r="B24" s="196"/>
      <c r="C24" s="152"/>
      <c r="D24" s="381"/>
      <c r="E24" s="58"/>
      <c r="F24" s="184"/>
      <c r="G24" s="43"/>
      <c r="H24" s="43"/>
      <c r="I24" s="43">
        <f>ROUND(C23*I22,2)</f>
        <v>47760.01</v>
      </c>
      <c r="J24" s="43">
        <f>ROUND(C23*J22,2)</f>
        <v>47760.01</v>
      </c>
      <c r="K24" s="44">
        <f>SUM(E24:J24)</f>
        <v>95520.02</v>
      </c>
    </row>
    <row r="25" spans="1:13" x14ac:dyDescent="0.25">
      <c r="A25" s="45"/>
      <c r="B25" s="197"/>
      <c r="C25" s="150"/>
      <c r="D25" s="379">
        <f>C26*100/C46</f>
        <v>4.3463320662779008</v>
      </c>
      <c r="E25" s="148"/>
      <c r="F25" s="148"/>
      <c r="G25" s="49">
        <v>0.25</v>
      </c>
      <c r="H25" s="49">
        <v>0.4</v>
      </c>
      <c r="I25" s="49">
        <v>0.35</v>
      </c>
      <c r="J25" s="56"/>
      <c r="K25" s="44"/>
    </row>
    <row r="26" spans="1:13" x14ac:dyDescent="0.25">
      <c r="A26" s="53" t="s">
        <v>25</v>
      </c>
      <c r="B26" s="84" t="str">
        <f>[1]Orçamento!D48</f>
        <v>ESQUADRIA</v>
      </c>
      <c r="C26" s="151">
        <f>Orçamento!H42</f>
        <v>98503.860000000015</v>
      </c>
      <c r="D26" s="380"/>
      <c r="E26" s="57"/>
      <c r="F26" s="57"/>
      <c r="G26" s="81"/>
      <c r="H26" s="182"/>
      <c r="I26" s="81"/>
      <c r="J26" s="56"/>
      <c r="K26" s="44"/>
    </row>
    <row r="27" spans="1:13" ht="15.75" customHeight="1" x14ac:dyDescent="0.25">
      <c r="A27" s="53"/>
      <c r="B27" s="196"/>
      <c r="C27" s="152"/>
      <c r="D27" s="381"/>
      <c r="E27" s="43"/>
      <c r="F27" s="43"/>
      <c r="G27" s="43">
        <f>ROUND(C26*G25,2)</f>
        <v>24625.97</v>
      </c>
      <c r="H27" s="43">
        <f>ROUND(C26*H25,2)</f>
        <v>39401.54</v>
      </c>
      <c r="I27" s="43">
        <f>ROUND(C26*I25,2)</f>
        <v>34476.35</v>
      </c>
      <c r="J27" s="56"/>
      <c r="K27" s="44">
        <f>SUM(E27:J27)</f>
        <v>98503.86</v>
      </c>
    </row>
    <row r="28" spans="1:13" x14ac:dyDescent="0.25">
      <c r="A28" s="45"/>
      <c r="B28" s="197"/>
      <c r="C28" s="150"/>
      <c r="D28" s="379">
        <f>C29*100/C46</f>
        <v>18.340682567835561</v>
      </c>
      <c r="E28" s="148"/>
      <c r="F28" s="49">
        <v>0.25</v>
      </c>
      <c r="G28" s="49">
        <v>0.25</v>
      </c>
      <c r="H28" s="49">
        <v>0.25</v>
      </c>
      <c r="I28" s="49">
        <v>0.25</v>
      </c>
      <c r="J28" s="49"/>
      <c r="K28" s="44"/>
    </row>
    <row r="29" spans="1:13" x14ac:dyDescent="0.25">
      <c r="A29" s="53" t="s">
        <v>28</v>
      </c>
      <c r="B29" s="84" t="str">
        <f>[1]Orçamento!D57</f>
        <v>REVESTIMENTOS E PISOS</v>
      </c>
      <c r="C29" s="151">
        <f>Orçamento!H59</f>
        <v>415667.28000000009</v>
      </c>
      <c r="D29" s="380"/>
      <c r="E29" s="202"/>
      <c r="F29" s="182"/>
      <c r="G29" s="182"/>
      <c r="H29" s="81"/>
      <c r="I29" s="182"/>
      <c r="J29" s="82"/>
      <c r="K29" s="44"/>
    </row>
    <row r="30" spans="1:13" x14ac:dyDescent="0.25">
      <c r="A30" s="53"/>
      <c r="B30" s="196"/>
      <c r="C30" s="152"/>
      <c r="D30" s="381"/>
      <c r="E30" s="43"/>
      <c r="F30" s="43">
        <f>ROUND(C29*F28,2)</f>
        <v>103916.82</v>
      </c>
      <c r="G30" s="43">
        <f>ROUND(C29*G28,2)</f>
        <v>103916.82</v>
      </c>
      <c r="H30" s="43">
        <f>ROUND(C29*H28,2)</f>
        <v>103916.82</v>
      </c>
      <c r="I30" s="43">
        <f>ROUND(C29*I28,2)</f>
        <v>103916.82</v>
      </c>
      <c r="J30" s="43"/>
      <c r="K30" s="44">
        <f>SUM(E30:J30)</f>
        <v>415667.28</v>
      </c>
    </row>
    <row r="31" spans="1:13" x14ac:dyDescent="0.25">
      <c r="A31" s="53"/>
      <c r="B31" s="196"/>
      <c r="C31" s="152"/>
      <c r="D31" s="379">
        <f>C32*100/C46</f>
        <v>0.16636445325752899</v>
      </c>
      <c r="E31" s="148"/>
      <c r="F31" s="327"/>
      <c r="G31" s="49">
        <v>1</v>
      </c>
      <c r="H31" s="327"/>
      <c r="I31" s="49"/>
      <c r="J31" s="49"/>
      <c r="K31" s="44"/>
    </row>
    <row r="32" spans="1:13" s="244" customFormat="1" x14ac:dyDescent="0.25">
      <c r="A32" s="53" t="s">
        <v>32</v>
      </c>
      <c r="B32" s="196" t="s">
        <v>286</v>
      </c>
      <c r="C32" s="152">
        <f>Orçamento!H72</f>
        <v>3770.4300000000003</v>
      </c>
      <c r="D32" s="380"/>
      <c r="E32" s="148"/>
      <c r="F32" s="49"/>
      <c r="G32" s="182"/>
      <c r="H32" s="49"/>
      <c r="I32" s="49"/>
      <c r="J32" s="49"/>
      <c r="K32" s="44"/>
    </row>
    <row r="33" spans="1:11" s="244" customFormat="1" x14ac:dyDescent="0.25">
      <c r="A33" s="327"/>
      <c r="B33" s="327"/>
      <c r="C33" s="327"/>
      <c r="D33" s="381"/>
      <c r="E33" s="148"/>
      <c r="F33" s="49"/>
      <c r="G33" s="328">
        <f>C32*G31</f>
        <v>3770.4300000000003</v>
      </c>
      <c r="H33" s="49"/>
      <c r="I33" s="49"/>
      <c r="J33" s="49"/>
      <c r="K33" s="44"/>
    </row>
    <row r="34" spans="1:11" s="244" customFormat="1" x14ac:dyDescent="0.25">
      <c r="A34" s="53"/>
      <c r="B34" s="196"/>
      <c r="C34" s="152"/>
      <c r="D34" s="379">
        <f>C35*100/C46</f>
        <v>25.375138620498081</v>
      </c>
      <c r="E34" s="148"/>
      <c r="F34" s="49">
        <v>0.5</v>
      </c>
      <c r="G34" s="49">
        <v>0.25</v>
      </c>
      <c r="H34" s="49">
        <v>0.25</v>
      </c>
      <c r="I34" s="49"/>
      <c r="J34" s="49"/>
      <c r="K34" s="44"/>
    </row>
    <row r="35" spans="1:11" x14ac:dyDescent="0.25">
      <c r="A35" s="53" t="s">
        <v>113</v>
      </c>
      <c r="B35" s="196" t="s">
        <v>40</v>
      </c>
      <c r="C35" s="153">
        <f>Orçamento!H76</f>
        <v>575093.90999999992</v>
      </c>
      <c r="D35" s="380"/>
      <c r="E35" s="57"/>
      <c r="F35" s="182"/>
      <c r="G35" s="182"/>
      <c r="H35" s="81"/>
      <c r="I35" s="202"/>
      <c r="J35" s="202"/>
      <c r="K35" s="44"/>
    </row>
    <row r="36" spans="1:11" x14ac:dyDescent="0.25">
      <c r="A36" s="53"/>
      <c r="B36" s="54"/>
      <c r="C36" s="152"/>
      <c r="D36" s="381"/>
      <c r="E36" s="43"/>
      <c r="F36" s="199">
        <f>C35*F34</f>
        <v>287546.95499999996</v>
      </c>
      <c r="G36" s="43">
        <f>C35*G34</f>
        <v>143773.47749999998</v>
      </c>
      <c r="H36" s="43">
        <f>C35*H34</f>
        <v>143773.47749999998</v>
      </c>
      <c r="I36" s="43"/>
      <c r="J36" s="43"/>
      <c r="K36" s="44">
        <f>SUM(E36:J36)</f>
        <v>575093.90999999992</v>
      </c>
    </row>
    <row r="37" spans="1:11" x14ac:dyDescent="0.25">
      <c r="A37" s="45"/>
      <c r="B37" s="46"/>
      <c r="C37" s="150"/>
      <c r="D37" s="379">
        <f>C38*100/C46</f>
        <v>2.658137235250579</v>
      </c>
      <c r="E37" s="48"/>
      <c r="F37" s="49">
        <v>0.5</v>
      </c>
      <c r="G37" s="49">
        <v>0.3</v>
      </c>
      <c r="H37" s="49">
        <v>0.2</v>
      </c>
      <c r="I37" s="148"/>
      <c r="J37" s="148"/>
      <c r="K37" s="44"/>
    </row>
    <row r="38" spans="1:11" x14ac:dyDescent="0.25">
      <c r="A38" s="53" t="s">
        <v>117</v>
      </c>
      <c r="B38" s="84" t="str">
        <f>[1]Orçamento!D77</f>
        <v>INSTALAÇÕES HIDRÁULICAS</v>
      </c>
      <c r="C38" s="151">
        <f>Orçamento!H84</f>
        <v>60243.159999999996</v>
      </c>
      <c r="D38" s="380"/>
      <c r="E38" s="57"/>
      <c r="F38" s="51"/>
      <c r="G38" s="51"/>
      <c r="H38" s="198"/>
      <c r="I38" s="57"/>
      <c r="J38" s="234"/>
      <c r="K38" s="44"/>
    </row>
    <row r="39" spans="1:11" x14ac:dyDescent="0.25">
      <c r="A39" s="53"/>
      <c r="B39" s="54"/>
      <c r="C39" s="152"/>
      <c r="D39" s="381"/>
      <c r="E39" s="199"/>
      <c r="F39" s="199">
        <f>ROUND(C38*F37,2)</f>
        <v>30121.58</v>
      </c>
      <c r="G39" s="199">
        <f>ROUND(C38*G37,2)</f>
        <v>18072.95</v>
      </c>
      <c r="H39" s="199">
        <f>ROUND(C38*H37,2)</f>
        <v>12048.63</v>
      </c>
      <c r="I39" s="199"/>
      <c r="J39" s="199"/>
      <c r="K39" s="44">
        <f>SUM(E39:J39)</f>
        <v>60243.159999999996</v>
      </c>
    </row>
    <row r="40" spans="1:11" x14ac:dyDescent="0.25">
      <c r="A40" s="45"/>
      <c r="B40" s="46"/>
      <c r="C40" s="150"/>
      <c r="D40" s="379">
        <f>C41*100/C46</f>
        <v>7.030826014823476</v>
      </c>
      <c r="E40" s="48"/>
      <c r="F40" s="49"/>
      <c r="G40" s="49">
        <v>0.4</v>
      </c>
      <c r="H40" s="49">
        <v>0.3</v>
      </c>
      <c r="I40" s="49">
        <v>0.3</v>
      </c>
      <c r="J40" s="148"/>
      <c r="K40" s="44"/>
    </row>
    <row r="41" spans="1:11" x14ac:dyDescent="0.25">
      <c r="A41" s="53" t="s">
        <v>188</v>
      </c>
      <c r="B41" s="84" t="str">
        <f>[1]Orçamento!D111</f>
        <v>INSTALAÇÕES ELÉTRICAS</v>
      </c>
      <c r="C41" s="151">
        <f>Orçamento!H108</f>
        <v>159344.36000000002</v>
      </c>
      <c r="D41" s="380"/>
      <c r="E41" s="57"/>
      <c r="F41" s="57"/>
      <c r="G41" s="51"/>
      <c r="H41" s="198"/>
      <c r="I41" s="51"/>
      <c r="J41" s="234"/>
      <c r="K41" s="44"/>
    </row>
    <row r="42" spans="1:11" x14ac:dyDescent="0.25">
      <c r="A42" s="53"/>
      <c r="B42" s="54"/>
      <c r="C42" s="152"/>
      <c r="D42" s="381"/>
      <c r="E42" s="199"/>
      <c r="F42" s="199"/>
      <c r="G42" s="199">
        <f>ROUND(C41*G40,2)</f>
        <v>63737.74</v>
      </c>
      <c r="H42" s="199">
        <f>ROUND(C41*H40,2)</f>
        <v>47803.31</v>
      </c>
      <c r="I42" s="199">
        <f>ROUND(C41*I40,2)</f>
        <v>47803.31</v>
      </c>
      <c r="J42" s="199"/>
      <c r="K42" s="44">
        <f>SUM(E42:J42)</f>
        <v>159344.35999999999</v>
      </c>
    </row>
    <row r="43" spans="1:11" x14ac:dyDescent="0.25">
      <c r="A43" s="45"/>
      <c r="B43" s="46"/>
      <c r="C43" s="150"/>
      <c r="D43" s="379">
        <f>C44*100/C46</f>
        <v>1.1486133343701763</v>
      </c>
      <c r="E43" s="48"/>
      <c r="F43" s="148"/>
      <c r="G43" s="148"/>
      <c r="H43" s="148"/>
      <c r="I43" s="148"/>
      <c r="J43" s="49">
        <v>1</v>
      </c>
      <c r="K43" s="44"/>
    </row>
    <row r="44" spans="1:11" x14ac:dyDescent="0.25">
      <c r="A44" s="53" t="s">
        <v>521</v>
      </c>
      <c r="B44" s="84" t="str">
        <f>Orçamento!D128</f>
        <v>SERVIÇOS FINAIS</v>
      </c>
      <c r="C44" s="151">
        <f>Orçamento!H128</f>
        <v>26031.8</v>
      </c>
      <c r="D44" s="380"/>
      <c r="E44" s="57"/>
      <c r="F44" s="57"/>
      <c r="G44" s="57"/>
      <c r="H44" s="234"/>
      <c r="I44" s="57"/>
      <c r="J44" s="198"/>
      <c r="K44" s="44"/>
    </row>
    <row r="45" spans="1:11" x14ac:dyDescent="0.25">
      <c r="A45" s="53"/>
      <c r="B45" s="54"/>
      <c r="C45" s="152"/>
      <c r="D45" s="381"/>
      <c r="E45" s="199"/>
      <c r="F45" s="199"/>
      <c r="G45" s="199"/>
      <c r="H45" s="199"/>
      <c r="I45" s="199"/>
      <c r="J45" s="199">
        <f>ROUND(C44*J43,2)</f>
        <v>26031.8</v>
      </c>
      <c r="K45" s="44">
        <f>SUM(E45:J45)</f>
        <v>26031.8</v>
      </c>
    </row>
    <row r="46" spans="1:11" x14ac:dyDescent="0.25">
      <c r="A46" s="59"/>
      <c r="B46" s="61" t="s">
        <v>70</v>
      </c>
      <c r="C46" s="62">
        <f>SUM(C13:C45)</f>
        <v>2266367.5599999996</v>
      </c>
      <c r="D46" s="63">
        <f>ROUND(SUM(D13:D45),2)</f>
        <v>100</v>
      </c>
      <c r="E46" s="60"/>
      <c r="F46" s="60"/>
      <c r="G46" s="56"/>
      <c r="H46" s="56"/>
      <c r="I46" s="56"/>
      <c r="J46" s="56"/>
    </row>
    <row r="47" spans="1:11" ht="15" customHeight="1" x14ac:dyDescent="0.25">
      <c r="A47" s="378" t="s">
        <v>71</v>
      </c>
      <c r="B47" s="378"/>
      <c r="C47" s="64"/>
      <c r="D47" s="59"/>
      <c r="E47" s="203">
        <f>E15+E18+E21+E24+E27+E30+E36+E39+E42+E45</f>
        <v>394823.54368</v>
      </c>
      <c r="F47" s="203">
        <f>F15+F18+F21+F24+F27+F30+F36+F39+F42+F45</f>
        <v>632962.92763999989</v>
      </c>
      <c r="G47" s="203">
        <f>G15+G18+G21+G24+G27+G30+G36+G39+G42+G45+G33</f>
        <v>507333.81118000002</v>
      </c>
      <c r="H47" s="203">
        <f>H15+H18+H21+H24+H27+H30+H36+H39+H42+H45</f>
        <v>372467.28117999999</v>
      </c>
      <c r="I47" s="203">
        <f>I15+I18+I21+I24+I27+I30+I36+I39+I42+I45</f>
        <v>259464.68264000001</v>
      </c>
      <c r="J47" s="203">
        <f>J15+J18+J21+J24+J27+J30+J36+J39+J42+J45</f>
        <v>99315.313680000007</v>
      </c>
      <c r="K47" s="44"/>
    </row>
    <row r="48" spans="1:11" ht="15" customHeight="1" x14ac:dyDescent="0.25">
      <c r="A48" s="378" t="s">
        <v>72</v>
      </c>
      <c r="B48" s="378"/>
      <c r="C48" s="192"/>
      <c r="D48" s="59"/>
      <c r="E48" s="48">
        <f>E47/C46</f>
        <v>0.17420984603221204</v>
      </c>
      <c r="F48" s="48">
        <f>F47/C46</f>
        <v>0.27928520457643685</v>
      </c>
      <c r="G48" s="204">
        <f>G47/C46</f>
        <v>0.22385327964189539</v>
      </c>
      <c r="H48" s="204">
        <f>H47/C46</f>
        <v>0.16434548735775237</v>
      </c>
      <c r="I48" s="204">
        <f>I47/C46</f>
        <v>0.11448482021159889</v>
      </c>
      <c r="J48" s="204">
        <f>J47/C46</f>
        <v>4.3821362180104635E-2</v>
      </c>
    </row>
    <row r="49" spans="1:12" ht="15" customHeight="1" x14ac:dyDescent="0.25">
      <c r="A49" s="378" t="s">
        <v>73</v>
      </c>
      <c r="B49" s="378"/>
      <c r="C49" s="192"/>
      <c r="D49" s="59"/>
      <c r="E49" s="203">
        <f>E47</f>
        <v>394823.54368</v>
      </c>
      <c r="F49" s="203">
        <f>E49+F47</f>
        <v>1027786.4713199999</v>
      </c>
      <c r="G49" s="205">
        <f>F49+G47</f>
        <v>1535120.2825</v>
      </c>
      <c r="H49" s="205">
        <f>G49+H47</f>
        <v>1907587.5636799999</v>
      </c>
      <c r="I49" s="205">
        <f>H49+I47</f>
        <v>2167052.2463199999</v>
      </c>
      <c r="J49" s="206">
        <f>I49+J47</f>
        <v>2266367.56</v>
      </c>
    </row>
    <row r="50" spans="1:12" ht="15" customHeight="1" x14ac:dyDescent="0.25">
      <c r="A50" s="378" t="s">
        <v>74</v>
      </c>
      <c r="B50" s="378"/>
      <c r="C50" s="192"/>
      <c r="D50" s="59"/>
      <c r="E50" s="48">
        <f>E48</f>
        <v>0.17420984603221204</v>
      </c>
      <c r="F50" s="48">
        <f t="shared" ref="F50:J50" si="0">E50+F48</f>
        <v>0.45349505060864892</v>
      </c>
      <c r="G50" s="204">
        <f t="shared" si="0"/>
        <v>0.67734833025054431</v>
      </c>
      <c r="H50" s="204">
        <f t="shared" si="0"/>
        <v>0.84169381760829665</v>
      </c>
      <c r="I50" s="204">
        <f t="shared" si="0"/>
        <v>0.95617863781989554</v>
      </c>
      <c r="J50" s="204">
        <f t="shared" si="0"/>
        <v>1.0000000000000002</v>
      </c>
      <c r="K50" s="44"/>
    </row>
    <row r="54" spans="1:12" x14ac:dyDescent="0.25">
      <c r="K54" s="44"/>
    </row>
    <row r="55" spans="1:12" x14ac:dyDescent="0.25">
      <c r="K55" s="44"/>
    </row>
    <row r="57" spans="1:12" x14ac:dyDescent="0.25">
      <c r="L57" s="52"/>
    </row>
  </sheetData>
  <mergeCells count="23">
    <mergeCell ref="E11:J11"/>
    <mergeCell ref="D43:D45"/>
    <mergeCell ref="D22:D24"/>
    <mergeCell ref="A11:A12"/>
    <mergeCell ref="B11:B12"/>
    <mergeCell ref="D13:D15"/>
    <mergeCell ref="D16:D18"/>
    <mergeCell ref="D19:D21"/>
    <mergeCell ref="D34:D36"/>
    <mergeCell ref="D31:D33"/>
    <mergeCell ref="A48:B48"/>
    <mergeCell ref="A49:B49"/>
    <mergeCell ref="A50:B50"/>
    <mergeCell ref="D25:D27"/>
    <mergeCell ref="D28:D30"/>
    <mergeCell ref="A47:B47"/>
    <mergeCell ref="D37:D39"/>
    <mergeCell ref="D40:D42"/>
    <mergeCell ref="A1:J5"/>
    <mergeCell ref="A6:J7"/>
    <mergeCell ref="A8:J8"/>
    <mergeCell ref="A9:J9"/>
    <mergeCell ref="A10:J10"/>
  </mergeCells>
  <pageMargins left="0.511811024" right="0.511811024" top="0.78740157499999996" bottom="0.78740157499999996" header="0.31496062000000002" footer="0.31496062000000002"/>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4"/>
  <sheetViews>
    <sheetView view="pageBreakPreview" topLeftCell="A310" zoomScaleNormal="80" zoomScaleSheetLayoutView="100" workbookViewId="0">
      <selection activeCell="K323" sqref="K323"/>
    </sheetView>
  </sheetViews>
  <sheetFormatPr defaultRowHeight="15" x14ac:dyDescent="0.25"/>
  <cols>
    <col min="2" max="2" width="21.140625" bestFit="1" customWidth="1"/>
    <col min="3" max="3" width="33.85546875" customWidth="1"/>
    <col min="4" max="4" width="10.5703125" customWidth="1"/>
    <col min="5" max="5" width="13.42578125" customWidth="1"/>
    <col min="6" max="6" width="14" customWidth="1"/>
    <col min="7" max="7" width="23.140625" customWidth="1"/>
    <col min="11" max="11" width="48.42578125" customWidth="1"/>
    <col min="12" max="12" width="11.42578125" bestFit="1" customWidth="1"/>
    <col min="13" max="13" width="74.42578125" customWidth="1"/>
  </cols>
  <sheetData>
    <row r="1" spans="1:20" ht="15.75" x14ac:dyDescent="0.25">
      <c r="A1" s="23"/>
      <c r="B1" s="24"/>
      <c r="C1" s="400" t="s">
        <v>0</v>
      </c>
      <c r="D1" s="400"/>
      <c r="E1" s="400"/>
      <c r="F1" s="400"/>
      <c r="G1" s="401"/>
      <c r="H1" s="25"/>
      <c r="I1" s="25"/>
    </row>
    <row r="2" spans="1:20" ht="15.75" x14ac:dyDescent="0.25">
      <c r="A2" s="23"/>
      <c r="B2" s="26"/>
      <c r="C2" s="402" t="s">
        <v>47</v>
      </c>
      <c r="D2" s="402"/>
      <c r="E2" s="402"/>
      <c r="F2" s="402"/>
      <c r="G2" s="403"/>
      <c r="H2" s="27"/>
      <c r="I2" s="27"/>
    </row>
    <row r="3" spans="1:20" ht="15.75" x14ac:dyDescent="0.25">
      <c r="A3" s="23"/>
      <c r="B3" s="26"/>
      <c r="C3" s="404" t="str">
        <f>Orçamento!B8</f>
        <v>OBJETO: CONSTRUÇÃO DA UPINHA DE PONTA DE PEDRA</v>
      </c>
      <c r="D3" s="404"/>
      <c r="E3" s="404"/>
      <c r="F3" s="404"/>
      <c r="G3" s="405"/>
      <c r="H3" s="28"/>
      <c r="I3" s="28"/>
    </row>
    <row r="4" spans="1:20" ht="15.75" x14ac:dyDescent="0.25">
      <c r="A4" s="23"/>
      <c r="B4" s="26"/>
      <c r="C4" s="406" t="str">
        <f>Orçamento!B9</f>
        <v>LOCAL: PONTA DE PEDRA, GOIANA/PE</v>
      </c>
      <c r="D4" s="406"/>
      <c r="E4" s="406"/>
      <c r="F4" s="406"/>
      <c r="G4" s="407"/>
      <c r="H4" s="28"/>
      <c r="I4" s="28"/>
    </row>
    <row r="5" spans="1:20" ht="15.75" x14ac:dyDescent="0.25">
      <c r="A5" s="23"/>
      <c r="B5" s="26"/>
      <c r="C5" s="406" t="str">
        <f>Orçamento!B10</f>
        <v>DATA: NOVEMBRO 2019</v>
      </c>
      <c r="D5" s="406"/>
      <c r="E5" s="406"/>
      <c r="F5" s="406"/>
      <c r="G5" s="407"/>
      <c r="H5" s="28"/>
      <c r="I5" s="28"/>
    </row>
    <row r="6" spans="1:20" ht="15.75" x14ac:dyDescent="0.25">
      <c r="A6" s="23"/>
      <c r="B6" s="29"/>
      <c r="C6" s="408"/>
      <c r="D6" s="408"/>
      <c r="E6" s="408"/>
      <c r="F6" s="408"/>
      <c r="G6" s="409"/>
      <c r="H6" s="30"/>
      <c r="I6" s="30"/>
    </row>
    <row r="7" spans="1:20" ht="15.75" x14ac:dyDescent="0.25">
      <c r="A7" s="23"/>
      <c r="B7" s="410" t="s">
        <v>48</v>
      </c>
      <c r="C7" s="411"/>
      <c r="D7" s="411"/>
      <c r="E7" s="411"/>
      <c r="F7" s="411"/>
      <c r="G7" s="412"/>
      <c r="H7" s="142"/>
      <c r="I7" s="142"/>
      <c r="K7" s="31"/>
      <c r="L7" s="31"/>
      <c r="M7" s="31"/>
      <c r="N7" s="31"/>
      <c r="O7" s="31"/>
      <c r="P7" s="31"/>
      <c r="Q7" s="31"/>
      <c r="R7" s="31"/>
      <c r="S7" s="31"/>
      <c r="T7" s="31"/>
    </row>
    <row r="8" spans="1:20" ht="90" x14ac:dyDescent="0.25">
      <c r="B8" s="37" t="s">
        <v>49</v>
      </c>
      <c r="C8" s="141" t="s">
        <v>321</v>
      </c>
      <c r="D8" s="38" t="s">
        <v>86</v>
      </c>
      <c r="E8" s="34" t="s">
        <v>9</v>
      </c>
      <c r="F8" s="34"/>
      <c r="G8" s="34"/>
      <c r="H8" s="117"/>
      <c r="I8" s="117"/>
      <c r="K8" s="31"/>
      <c r="L8" s="289"/>
      <c r="M8" s="283"/>
      <c r="N8" s="289"/>
      <c r="O8" s="291"/>
      <c r="P8" s="289"/>
      <c r="Q8" s="31"/>
      <c r="R8" s="31"/>
      <c r="S8" s="31"/>
      <c r="T8" s="31"/>
    </row>
    <row r="9" spans="1:20" ht="42.75" x14ac:dyDescent="0.25">
      <c r="B9" s="287" t="s">
        <v>325</v>
      </c>
      <c r="C9" s="257" t="s">
        <v>211</v>
      </c>
      <c r="D9" s="285" t="s">
        <v>87</v>
      </c>
      <c r="E9" s="285">
        <v>0.06</v>
      </c>
      <c r="F9" s="285">
        <v>58.07</v>
      </c>
      <c r="G9" s="34">
        <f>F9*E9</f>
        <v>3.4842</v>
      </c>
      <c r="H9" s="117"/>
      <c r="I9" s="117"/>
      <c r="K9" s="31"/>
      <c r="L9" s="289"/>
      <c r="M9" s="35"/>
      <c r="N9" s="289"/>
      <c r="O9" s="291"/>
      <c r="P9" s="292"/>
      <c r="Q9" s="292"/>
      <c r="R9" s="31"/>
      <c r="S9" s="31"/>
      <c r="T9" s="31"/>
    </row>
    <row r="10" spans="1:20" ht="44.25" customHeight="1" x14ac:dyDescent="0.25">
      <c r="B10" s="287" t="s">
        <v>322</v>
      </c>
      <c r="C10" s="257" t="s">
        <v>205</v>
      </c>
      <c r="D10" s="285" t="s">
        <v>52</v>
      </c>
      <c r="E10" s="285">
        <v>6</v>
      </c>
      <c r="F10" s="285">
        <v>17.97</v>
      </c>
      <c r="G10" s="34">
        <f>F10*E10</f>
        <v>107.82</v>
      </c>
      <c r="H10" s="117"/>
      <c r="I10" s="117"/>
      <c r="K10" s="31"/>
      <c r="L10" s="289"/>
      <c r="M10" s="35"/>
      <c r="N10" s="289"/>
      <c r="O10" s="291"/>
      <c r="P10" s="289"/>
      <c r="Q10" s="289"/>
      <c r="R10" s="31"/>
      <c r="S10" s="31"/>
      <c r="T10" s="31"/>
    </row>
    <row r="11" spans="1:20" ht="28.5" x14ac:dyDescent="0.25">
      <c r="B11" s="287" t="s">
        <v>326</v>
      </c>
      <c r="C11" s="257" t="s">
        <v>179</v>
      </c>
      <c r="D11" s="285" t="s">
        <v>52</v>
      </c>
      <c r="E11" s="285">
        <v>0.8</v>
      </c>
      <c r="F11" s="285">
        <v>18.11</v>
      </c>
      <c r="G11" s="34">
        <f t="shared" ref="G11:G21" si="0">F11*E11</f>
        <v>14.488</v>
      </c>
      <c r="H11" s="117"/>
      <c r="I11" s="117"/>
      <c r="K11" s="31"/>
      <c r="L11" s="289"/>
      <c r="M11" s="286"/>
      <c r="N11" s="289"/>
      <c r="O11" s="291"/>
      <c r="P11" s="292"/>
      <c r="Q11" s="292"/>
      <c r="R11" s="31"/>
      <c r="S11" s="31"/>
      <c r="T11" s="31"/>
    </row>
    <row r="12" spans="1:20" ht="28.5" x14ac:dyDescent="0.25">
      <c r="B12" s="287" t="s">
        <v>327</v>
      </c>
      <c r="C12" s="257" t="s">
        <v>153</v>
      </c>
      <c r="D12" s="285" t="s">
        <v>52</v>
      </c>
      <c r="E12" s="285">
        <v>8</v>
      </c>
      <c r="F12" s="285">
        <v>14.68</v>
      </c>
      <c r="G12" s="34">
        <f t="shared" si="0"/>
        <v>117.44</v>
      </c>
      <c r="H12" s="117"/>
      <c r="I12" s="117"/>
      <c r="K12" s="31"/>
      <c r="L12" s="289"/>
      <c r="M12" s="31"/>
      <c r="N12" s="289"/>
      <c r="O12" s="291"/>
      <c r="P12" s="289"/>
      <c r="Q12" s="289"/>
      <c r="R12" s="31"/>
      <c r="S12" s="31"/>
      <c r="T12" s="31"/>
    </row>
    <row r="13" spans="1:20" ht="42.75" x14ac:dyDescent="0.25">
      <c r="B13" s="287" t="s">
        <v>328</v>
      </c>
      <c r="C13" s="257" t="s">
        <v>206</v>
      </c>
      <c r="D13" s="285" t="s">
        <v>87</v>
      </c>
      <c r="E13" s="285">
        <v>0.02</v>
      </c>
      <c r="F13" s="285">
        <v>77.5</v>
      </c>
      <c r="G13" s="34">
        <f t="shared" si="0"/>
        <v>1.55</v>
      </c>
      <c r="H13" s="117"/>
      <c r="I13" s="117"/>
      <c r="K13" s="31"/>
      <c r="L13" s="289"/>
      <c r="M13" s="286"/>
      <c r="N13" s="289"/>
      <c r="O13" s="291"/>
      <c r="P13" s="292"/>
      <c r="Q13" s="292"/>
      <c r="R13" s="31"/>
      <c r="S13" s="31"/>
      <c r="T13" s="31"/>
    </row>
    <row r="14" spans="1:20" ht="28.5" x14ac:dyDescent="0.25">
      <c r="B14" s="287" t="s">
        <v>329</v>
      </c>
      <c r="C14" s="257" t="s">
        <v>172</v>
      </c>
      <c r="D14" s="285" t="s">
        <v>173</v>
      </c>
      <c r="E14" s="285">
        <v>3.62</v>
      </c>
      <c r="F14" s="285">
        <v>0.4</v>
      </c>
      <c r="G14" s="34">
        <f t="shared" si="0"/>
        <v>1.4480000000000002</v>
      </c>
      <c r="H14" s="117"/>
      <c r="I14" s="117"/>
      <c r="K14" s="31"/>
      <c r="L14" s="289"/>
      <c r="M14" s="286"/>
      <c r="N14" s="289"/>
      <c r="O14" s="291"/>
      <c r="P14" s="292"/>
      <c r="Q14" s="292"/>
      <c r="R14" s="31"/>
      <c r="S14" s="31"/>
      <c r="T14" s="31"/>
    </row>
    <row r="15" spans="1:20" ht="28.5" customHeight="1" x14ac:dyDescent="0.25">
      <c r="B15" s="287" t="s">
        <v>330</v>
      </c>
      <c r="C15" s="257" t="s">
        <v>207</v>
      </c>
      <c r="D15" s="285" t="s">
        <v>176</v>
      </c>
      <c r="E15" s="285">
        <v>0.33</v>
      </c>
      <c r="F15" s="285">
        <v>11.03</v>
      </c>
      <c r="G15" s="34">
        <f t="shared" si="0"/>
        <v>3.6398999999999999</v>
      </c>
      <c r="H15" s="117"/>
      <c r="I15" s="117"/>
      <c r="K15" s="31"/>
      <c r="L15" s="289"/>
      <c r="M15" s="35"/>
      <c r="N15" s="289"/>
      <c r="O15" s="291"/>
      <c r="P15" s="292"/>
      <c r="Q15" s="292"/>
      <c r="R15" s="31"/>
      <c r="S15" s="31"/>
      <c r="T15" s="31"/>
    </row>
    <row r="16" spans="1:20" ht="71.25" x14ac:dyDescent="0.25">
      <c r="B16" s="287" t="s">
        <v>331</v>
      </c>
      <c r="C16" s="257" t="s">
        <v>214</v>
      </c>
      <c r="D16" s="285" t="s">
        <v>88</v>
      </c>
      <c r="E16" s="285">
        <v>4.5</v>
      </c>
      <c r="F16" s="285">
        <v>2.27</v>
      </c>
      <c r="G16" s="34">
        <f t="shared" si="0"/>
        <v>10.215</v>
      </c>
      <c r="H16" s="117"/>
      <c r="I16" s="117"/>
      <c r="K16" s="31"/>
      <c r="L16" s="289"/>
      <c r="M16" s="35"/>
      <c r="N16" s="289"/>
      <c r="O16" s="291"/>
      <c r="P16" s="292"/>
      <c r="Q16" s="292"/>
      <c r="R16" s="31"/>
      <c r="S16" s="31"/>
      <c r="T16" s="31"/>
    </row>
    <row r="17" spans="2:20" ht="57" x14ac:dyDescent="0.25">
      <c r="B17" s="287" t="s">
        <v>332</v>
      </c>
      <c r="C17" s="257" t="s">
        <v>213</v>
      </c>
      <c r="D17" s="285" t="s">
        <v>88</v>
      </c>
      <c r="E17" s="285">
        <v>5</v>
      </c>
      <c r="F17" s="285">
        <v>1.44</v>
      </c>
      <c r="G17" s="34">
        <f t="shared" si="0"/>
        <v>7.1999999999999993</v>
      </c>
      <c r="H17" s="117"/>
      <c r="I17" s="117"/>
      <c r="K17" s="31"/>
      <c r="L17" s="289"/>
      <c r="M17" s="35"/>
      <c r="N17" s="289"/>
      <c r="O17" s="291"/>
      <c r="P17" s="289"/>
      <c r="Q17" s="289"/>
      <c r="R17" s="31"/>
      <c r="S17" s="31"/>
      <c r="T17" s="31"/>
    </row>
    <row r="18" spans="2:20" ht="28.5" x14ac:dyDescent="0.25">
      <c r="B18" s="287" t="s">
        <v>333</v>
      </c>
      <c r="C18" s="257" t="s">
        <v>212</v>
      </c>
      <c r="D18" s="285" t="s">
        <v>173</v>
      </c>
      <c r="E18" s="285">
        <v>0.5</v>
      </c>
      <c r="F18" s="285">
        <v>13.05</v>
      </c>
      <c r="G18" s="34">
        <f t="shared" si="0"/>
        <v>6.5250000000000004</v>
      </c>
      <c r="H18" s="117"/>
      <c r="I18" s="117"/>
      <c r="K18" s="31"/>
      <c r="L18" s="289"/>
      <c r="M18" s="286"/>
      <c r="N18" s="289"/>
      <c r="O18" s="291"/>
      <c r="P18" s="292"/>
      <c r="Q18" s="292"/>
      <c r="R18" s="31"/>
      <c r="S18" s="31"/>
      <c r="T18" s="31"/>
    </row>
    <row r="19" spans="2:20" ht="42.75" x14ac:dyDescent="0.25">
      <c r="B19" s="287" t="s">
        <v>334</v>
      </c>
      <c r="C19" s="257" t="s">
        <v>208</v>
      </c>
      <c r="D19" s="285" t="s">
        <v>88</v>
      </c>
      <c r="E19" s="285">
        <v>8</v>
      </c>
      <c r="F19" s="285">
        <v>8.51</v>
      </c>
      <c r="G19" s="34">
        <f t="shared" si="0"/>
        <v>68.08</v>
      </c>
      <c r="H19" s="117"/>
      <c r="I19" s="117"/>
      <c r="K19" s="31"/>
      <c r="L19" s="289"/>
      <c r="M19" s="286"/>
      <c r="N19" s="289"/>
      <c r="O19" s="291"/>
      <c r="P19" s="289"/>
      <c r="Q19" s="289"/>
      <c r="R19" s="31"/>
      <c r="S19" s="31"/>
      <c r="T19" s="31"/>
    </row>
    <row r="20" spans="2:20" ht="42.75" x14ac:dyDescent="0.25">
      <c r="B20" s="287" t="s">
        <v>335</v>
      </c>
      <c r="C20" s="257" t="s">
        <v>209</v>
      </c>
      <c r="D20" s="285" t="s">
        <v>86</v>
      </c>
      <c r="E20" s="285">
        <v>1.2</v>
      </c>
      <c r="F20" s="285">
        <v>16.96</v>
      </c>
      <c r="G20" s="34">
        <f t="shared" si="0"/>
        <v>20.352</v>
      </c>
      <c r="H20" s="117"/>
      <c r="I20" s="117"/>
      <c r="K20" s="31"/>
      <c r="L20" s="289"/>
      <c r="M20" s="35"/>
      <c r="N20" s="289"/>
      <c r="O20" s="291"/>
      <c r="P20" s="292"/>
      <c r="Q20" s="292"/>
      <c r="R20" s="31"/>
      <c r="S20" s="31"/>
      <c r="T20" s="31"/>
    </row>
    <row r="21" spans="2:20" ht="42.75" x14ac:dyDescent="0.25">
      <c r="B21" s="287" t="s">
        <v>336</v>
      </c>
      <c r="C21" s="257" t="s">
        <v>210</v>
      </c>
      <c r="D21" s="285" t="s">
        <v>176</v>
      </c>
      <c r="E21" s="285">
        <v>0.11</v>
      </c>
      <c r="F21" s="285">
        <v>13.27</v>
      </c>
      <c r="G21" s="34">
        <f t="shared" si="0"/>
        <v>1.4597</v>
      </c>
      <c r="H21" s="117"/>
      <c r="I21" s="117"/>
      <c r="K21" s="31"/>
      <c r="L21" s="289"/>
      <c r="M21" s="286"/>
      <c r="N21" s="289"/>
      <c r="O21" s="291"/>
      <c r="P21" s="292"/>
      <c r="Q21" s="292"/>
      <c r="R21" s="31"/>
      <c r="S21" s="31"/>
      <c r="T21" s="31"/>
    </row>
    <row r="22" spans="2:20" x14ac:dyDescent="0.25">
      <c r="B22" s="35"/>
      <c r="C22" s="35"/>
      <c r="D22" s="388" t="s">
        <v>54</v>
      </c>
      <c r="E22" s="388"/>
      <c r="G22" s="34">
        <f>F9*E9</f>
        <v>3.4842</v>
      </c>
      <c r="H22" s="117"/>
      <c r="I22" s="117"/>
      <c r="K22" s="31"/>
      <c r="L22" s="31"/>
      <c r="M22" s="31"/>
      <c r="N22" s="31"/>
      <c r="O22" s="31"/>
      <c r="P22" s="31"/>
      <c r="Q22" s="31"/>
      <c r="R22" s="31"/>
      <c r="S22" s="31"/>
      <c r="T22" s="31"/>
    </row>
    <row r="23" spans="2:20" x14ac:dyDescent="0.25">
      <c r="B23" s="35"/>
      <c r="C23" s="35"/>
      <c r="D23" s="389" t="s">
        <v>55</v>
      </c>
      <c r="E23" s="389"/>
      <c r="F23" s="34"/>
      <c r="G23" s="34">
        <v>0</v>
      </c>
      <c r="H23" s="117"/>
      <c r="I23" s="117"/>
      <c r="K23" s="31"/>
      <c r="L23" s="31"/>
      <c r="M23" s="31"/>
      <c r="N23" s="31"/>
      <c r="O23" s="31"/>
      <c r="P23" s="31"/>
      <c r="Q23" s="31"/>
      <c r="R23" s="31"/>
      <c r="S23" s="31"/>
      <c r="T23" s="31"/>
    </row>
    <row r="24" spans="2:20" x14ac:dyDescent="0.25">
      <c r="B24" s="35"/>
      <c r="C24" s="35"/>
      <c r="D24" s="389" t="s">
        <v>56</v>
      </c>
      <c r="E24" s="389"/>
      <c r="F24" s="34"/>
      <c r="G24" s="288">
        <f>(F13*E13)+(F14*E14)+(F15*E15)+(F16*E16)+(F17*E17)+(F18*E18)+(F19*E19)+(F20*E20)+(F21*E21)</f>
        <v>120.4696</v>
      </c>
      <c r="H24" s="117"/>
      <c r="I24" s="117"/>
      <c r="K24" s="31"/>
      <c r="L24" s="31"/>
      <c r="M24" s="31"/>
      <c r="N24" s="31"/>
      <c r="O24" s="31"/>
      <c r="P24" s="31"/>
      <c r="Q24" s="31"/>
      <c r="R24" s="31"/>
      <c r="S24" s="31"/>
      <c r="T24" s="31"/>
    </row>
    <row r="25" spans="2:20" x14ac:dyDescent="0.25">
      <c r="B25" s="35"/>
      <c r="C25" s="35"/>
      <c r="D25" s="389" t="s">
        <v>57</v>
      </c>
      <c r="E25" s="389"/>
      <c r="G25" s="34">
        <f>(F10*E10)+(F11*E11)+(F12*E12)</f>
        <v>239.74799999999999</v>
      </c>
      <c r="H25" s="117"/>
      <c r="I25" s="117"/>
      <c r="K25" s="31"/>
      <c r="L25" s="289"/>
      <c r="M25" s="283"/>
      <c r="N25" s="289"/>
      <c r="O25" s="291"/>
      <c r="P25" s="289"/>
      <c r="Q25" s="291"/>
      <c r="R25" s="31"/>
      <c r="S25" s="31"/>
      <c r="T25" s="31"/>
    </row>
    <row r="26" spans="2:20" ht="15.75" x14ac:dyDescent="0.25">
      <c r="B26" s="39"/>
      <c r="C26" s="27"/>
      <c r="D26" s="390" t="s">
        <v>58</v>
      </c>
      <c r="E26" s="391"/>
      <c r="F26" s="40"/>
      <c r="G26" s="41">
        <f>SUM(G9:G21)</f>
        <v>363.70179999999993</v>
      </c>
      <c r="H26" s="117"/>
      <c r="I26" s="117"/>
      <c r="K26" s="31"/>
      <c r="L26" s="289"/>
      <c r="M26" s="286"/>
      <c r="N26" s="289"/>
      <c r="O26" s="291"/>
      <c r="P26" s="289"/>
      <c r="Q26" s="291"/>
      <c r="R26" s="31"/>
      <c r="S26" s="31"/>
      <c r="T26" s="31"/>
    </row>
    <row r="27" spans="2:20" x14ac:dyDescent="0.25">
      <c r="B27" s="117"/>
      <c r="C27" s="117"/>
      <c r="D27" s="392" t="s">
        <v>59</v>
      </c>
      <c r="E27" s="392"/>
      <c r="F27" s="143"/>
      <c r="G27" s="256">
        <f>ROUND(G26*1.2637,2)</f>
        <v>459.61</v>
      </c>
      <c r="H27" s="117"/>
      <c r="I27" s="117"/>
      <c r="K27" s="31"/>
      <c r="L27" s="289"/>
      <c r="M27" s="286"/>
      <c r="N27" s="289"/>
      <c r="O27" s="291"/>
      <c r="P27" s="289"/>
      <c r="Q27" s="291"/>
      <c r="R27" s="31"/>
      <c r="S27" s="31"/>
      <c r="T27" s="31"/>
    </row>
    <row r="28" spans="2:20" x14ac:dyDescent="0.25">
      <c r="K28" s="31"/>
      <c r="L28" s="289"/>
      <c r="M28" s="286"/>
      <c r="N28" s="289"/>
      <c r="O28" s="291"/>
      <c r="P28" s="289"/>
      <c r="Q28" s="291"/>
      <c r="R28" s="31"/>
      <c r="S28" s="31"/>
      <c r="T28" s="31"/>
    </row>
    <row r="29" spans="2:20" ht="75" x14ac:dyDescent="0.25">
      <c r="B29" s="37" t="s">
        <v>80</v>
      </c>
      <c r="C29" s="37" t="s">
        <v>271</v>
      </c>
      <c r="D29" s="38" t="s">
        <v>86</v>
      </c>
      <c r="E29" s="34" t="s">
        <v>9</v>
      </c>
      <c r="F29" s="34"/>
      <c r="G29" s="34"/>
      <c r="K29" s="31"/>
      <c r="L29" s="289"/>
      <c r="M29" s="286"/>
      <c r="N29" s="289"/>
      <c r="O29" s="291"/>
      <c r="P29" s="292"/>
      <c r="Q29" s="291"/>
      <c r="R29" s="31"/>
      <c r="S29" s="31"/>
      <c r="T29" s="31"/>
    </row>
    <row r="30" spans="2:20" ht="42.75" x14ac:dyDescent="0.25">
      <c r="B30" s="287" t="s">
        <v>322</v>
      </c>
      <c r="C30" s="257" t="s">
        <v>205</v>
      </c>
      <c r="D30" s="257" t="s">
        <v>52</v>
      </c>
      <c r="E30" s="257">
        <v>0.13</v>
      </c>
      <c r="F30" s="257">
        <v>17.97</v>
      </c>
      <c r="G30" s="34">
        <f t="shared" ref="G30:G35" si="1">F30*E30</f>
        <v>2.3361000000000001</v>
      </c>
      <c r="K30" s="31"/>
      <c r="L30" s="31"/>
      <c r="M30" s="31"/>
      <c r="N30" s="31"/>
      <c r="O30" s="31"/>
      <c r="P30" s="31"/>
      <c r="Q30" s="31"/>
      <c r="R30" s="31"/>
      <c r="S30" s="31"/>
      <c r="T30" s="31"/>
    </row>
    <row r="31" spans="2:20" ht="28.5" x14ac:dyDescent="0.25">
      <c r="B31" s="287" t="s">
        <v>327</v>
      </c>
      <c r="C31" s="257" t="s">
        <v>153</v>
      </c>
      <c r="D31" s="257" t="s">
        <v>52</v>
      </c>
      <c r="E31" s="257">
        <v>0.13</v>
      </c>
      <c r="F31" s="257">
        <v>14.68</v>
      </c>
      <c r="G31" s="34">
        <f t="shared" si="1"/>
        <v>1.9084000000000001</v>
      </c>
      <c r="K31" s="31"/>
      <c r="L31" s="289"/>
      <c r="M31" s="283"/>
      <c r="N31" s="289"/>
      <c r="O31" s="291"/>
      <c r="P31" s="289"/>
      <c r="Q31" s="31"/>
      <c r="R31" s="31"/>
      <c r="S31" s="31"/>
      <c r="T31" s="31"/>
    </row>
    <row r="32" spans="2:20" ht="28.5" x14ac:dyDescent="0.25">
      <c r="B32" s="287" t="s">
        <v>339</v>
      </c>
      <c r="C32" s="257" t="s">
        <v>272</v>
      </c>
      <c r="D32" s="257" t="s">
        <v>173</v>
      </c>
      <c r="E32" s="257">
        <v>0.02</v>
      </c>
      <c r="F32" s="257">
        <v>9.5</v>
      </c>
      <c r="G32" s="34">
        <f t="shared" si="1"/>
        <v>0.19</v>
      </c>
      <c r="K32" s="31"/>
      <c r="L32" s="289"/>
      <c r="M32" s="286"/>
      <c r="N32" s="289"/>
      <c r="O32" s="31"/>
      <c r="P32" s="292"/>
      <c r="Q32" s="291"/>
      <c r="R32" s="31"/>
      <c r="S32" s="31"/>
      <c r="T32" s="31"/>
    </row>
    <row r="33" spans="2:20" ht="42.75" x14ac:dyDescent="0.25">
      <c r="B33" s="287" t="s">
        <v>340</v>
      </c>
      <c r="C33" s="257" t="s">
        <v>273</v>
      </c>
      <c r="D33" s="257" t="s">
        <v>88</v>
      </c>
      <c r="E33" s="257">
        <v>0.25</v>
      </c>
      <c r="F33" s="257">
        <v>5.44</v>
      </c>
      <c r="G33" s="34">
        <f t="shared" si="1"/>
        <v>1.36</v>
      </c>
      <c r="K33" s="31"/>
      <c r="L33" s="289"/>
      <c r="M33" s="286"/>
      <c r="N33" s="289"/>
      <c r="O33" s="31"/>
      <c r="P33" s="292"/>
      <c r="Q33" s="291"/>
      <c r="R33" s="31"/>
      <c r="S33" s="31"/>
      <c r="T33" s="31"/>
    </row>
    <row r="34" spans="2:20" ht="28.5" x14ac:dyDescent="0.25">
      <c r="B34" s="287" t="s">
        <v>341</v>
      </c>
      <c r="C34" s="257" t="s">
        <v>274</v>
      </c>
      <c r="D34" s="257" t="s">
        <v>173</v>
      </c>
      <c r="E34" s="257">
        <v>0.01</v>
      </c>
      <c r="F34" s="257">
        <v>10.75</v>
      </c>
      <c r="G34" s="34">
        <f t="shared" si="1"/>
        <v>0.1075</v>
      </c>
      <c r="K34" s="31"/>
      <c r="L34" s="289"/>
      <c r="M34" s="286"/>
      <c r="N34" s="289"/>
      <c r="O34" s="31"/>
      <c r="P34" s="292"/>
      <c r="Q34" s="291"/>
      <c r="R34" s="31"/>
      <c r="S34" s="31"/>
      <c r="T34" s="31"/>
    </row>
    <row r="35" spans="2:20" ht="42.75" x14ac:dyDescent="0.25">
      <c r="B35" s="287" t="s">
        <v>334</v>
      </c>
      <c r="C35" s="257" t="s">
        <v>208</v>
      </c>
      <c r="D35" s="257" t="s">
        <v>88</v>
      </c>
      <c r="E35" s="257">
        <v>0.317</v>
      </c>
      <c r="F35" s="257">
        <v>8.51</v>
      </c>
      <c r="G35" s="34">
        <f t="shared" si="1"/>
        <v>2.69767</v>
      </c>
      <c r="K35" s="31"/>
      <c r="L35" s="289"/>
      <c r="M35" s="286"/>
      <c r="N35" s="289"/>
      <c r="O35" s="31"/>
      <c r="P35" s="292"/>
      <c r="Q35" s="291"/>
      <c r="R35" s="31"/>
      <c r="S35" s="31"/>
      <c r="T35" s="31"/>
    </row>
    <row r="36" spans="2:20" x14ac:dyDescent="0.25">
      <c r="B36" s="35"/>
      <c r="C36" s="35"/>
      <c r="D36" s="388" t="s">
        <v>54</v>
      </c>
      <c r="E36" s="388"/>
      <c r="F36" s="34"/>
      <c r="G36" s="288">
        <v>0</v>
      </c>
      <c r="K36" s="31"/>
      <c r="L36" s="289"/>
      <c r="M36" s="286"/>
      <c r="N36" s="289"/>
      <c r="O36" s="31"/>
      <c r="P36" s="292"/>
      <c r="Q36" s="291"/>
      <c r="R36" s="31"/>
      <c r="S36" s="31"/>
      <c r="T36" s="31"/>
    </row>
    <row r="37" spans="2:20" x14ac:dyDescent="0.25">
      <c r="B37" s="35"/>
      <c r="C37" s="35"/>
      <c r="D37" s="389" t="s">
        <v>55</v>
      </c>
      <c r="E37" s="389"/>
      <c r="F37" s="34"/>
      <c r="G37" s="288">
        <v>0</v>
      </c>
      <c r="K37" s="31"/>
      <c r="L37" s="289"/>
      <c r="M37" s="286"/>
      <c r="N37" s="289"/>
      <c r="O37" s="31"/>
      <c r="P37" s="292"/>
      <c r="Q37" s="291"/>
      <c r="R37" s="31"/>
      <c r="S37" s="31"/>
      <c r="T37" s="31"/>
    </row>
    <row r="38" spans="2:20" x14ac:dyDescent="0.25">
      <c r="B38" s="35"/>
      <c r="C38" s="35"/>
      <c r="D38" s="389" t="s">
        <v>56</v>
      </c>
      <c r="E38" s="389"/>
      <c r="F38" s="34"/>
      <c r="G38" s="288">
        <f>(F32*E32)+(F33*E33)+(F34*E34)+(F35*E35)</f>
        <v>4.3551700000000002</v>
      </c>
      <c r="K38" s="31"/>
      <c r="L38" s="31"/>
      <c r="M38" s="31"/>
      <c r="N38" s="31"/>
      <c r="O38" s="31"/>
      <c r="P38" s="31"/>
      <c r="Q38" s="31"/>
      <c r="R38" s="293"/>
      <c r="S38" s="31"/>
      <c r="T38" s="31"/>
    </row>
    <row r="39" spans="2:20" x14ac:dyDescent="0.25">
      <c r="B39" s="35"/>
      <c r="C39" s="35"/>
      <c r="D39" s="389" t="s">
        <v>57</v>
      </c>
      <c r="E39" s="389"/>
      <c r="F39" s="34"/>
      <c r="G39" s="288">
        <f>(F30*E30)+(F31*E31)</f>
        <v>4.2445000000000004</v>
      </c>
      <c r="K39" s="31"/>
      <c r="L39" s="31"/>
      <c r="M39" s="31"/>
      <c r="N39" s="31"/>
      <c r="O39" s="31"/>
      <c r="P39" s="31"/>
      <c r="Q39" s="31"/>
      <c r="R39" s="31"/>
      <c r="S39" s="31"/>
      <c r="T39" s="31"/>
    </row>
    <row r="40" spans="2:20" ht="15.75" x14ac:dyDescent="0.25">
      <c r="B40" s="39"/>
      <c r="C40" s="27"/>
      <c r="D40" s="390" t="s">
        <v>58</v>
      </c>
      <c r="E40" s="391"/>
      <c r="F40" s="40"/>
      <c r="G40" s="41">
        <f>SUM(G30:G35)</f>
        <v>8.5996700000000015</v>
      </c>
      <c r="K40" s="31"/>
      <c r="L40" s="289"/>
      <c r="M40" s="283"/>
      <c r="N40" s="289"/>
      <c r="O40" s="291"/>
      <c r="P40" s="289"/>
      <c r="Q40" s="31"/>
      <c r="R40" s="31"/>
      <c r="S40" s="31"/>
      <c r="T40" s="31"/>
    </row>
    <row r="41" spans="2:20" x14ac:dyDescent="0.25">
      <c r="B41" s="117"/>
      <c r="C41" s="117"/>
      <c r="D41" s="392" t="s">
        <v>59</v>
      </c>
      <c r="E41" s="392"/>
      <c r="F41" s="143"/>
      <c r="G41" s="256">
        <f>ROUND(G40*1.2637,2)</f>
        <v>10.87</v>
      </c>
      <c r="K41" s="31"/>
      <c r="L41" s="289"/>
      <c r="M41" s="286"/>
      <c r="N41" s="289"/>
      <c r="O41" s="291"/>
      <c r="P41" s="292"/>
      <c r="Q41" s="31"/>
      <c r="R41" s="31"/>
      <c r="S41" s="31"/>
      <c r="T41" s="31"/>
    </row>
    <row r="42" spans="2:20" x14ac:dyDescent="0.25">
      <c r="K42" s="31"/>
      <c r="L42" s="289"/>
      <c r="M42" s="286"/>
      <c r="N42" s="289"/>
      <c r="O42" s="291"/>
      <c r="P42" s="292"/>
      <c r="Q42" s="31"/>
      <c r="R42" s="31"/>
      <c r="S42" s="31"/>
      <c r="T42" s="31"/>
    </row>
    <row r="43" spans="2:20" x14ac:dyDescent="0.25">
      <c r="K43" s="31"/>
      <c r="L43" s="289"/>
      <c r="M43" s="286"/>
      <c r="N43" s="289"/>
      <c r="O43" s="291"/>
      <c r="P43" s="289"/>
      <c r="Q43" s="31"/>
      <c r="R43" s="31"/>
      <c r="S43" s="31"/>
      <c r="T43" s="31"/>
    </row>
    <row r="44" spans="2:20" ht="60" x14ac:dyDescent="0.25">
      <c r="B44" s="37" t="s">
        <v>143</v>
      </c>
      <c r="C44" s="37" t="s">
        <v>278</v>
      </c>
      <c r="D44" s="38" t="s">
        <v>87</v>
      </c>
      <c r="E44" s="34" t="s">
        <v>9</v>
      </c>
      <c r="F44" s="34"/>
      <c r="G44" s="34"/>
      <c r="K44" s="31"/>
      <c r="L44" s="289"/>
      <c r="M44" s="286"/>
      <c r="N44" s="289"/>
      <c r="O44" s="291"/>
      <c r="P44" s="294"/>
      <c r="Q44" s="31"/>
      <c r="R44" s="31"/>
      <c r="S44" s="31"/>
      <c r="T44" s="31"/>
    </row>
    <row r="45" spans="2:20" ht="71.25" x14ac:dyDescent="0.25">
      <c r="B45" s="287" t="s">
        <v>343</v>
      </c>
      <c r="C45" s="257" t="s">
        <v>280</v>
      </c>
      <c r="D45" s="257" t="s">
        <v>279</v>
      </c>
      <c r="E45" s="257">
        <v>0.66669999999999996</v>
      </c>
      <c r="F45" s="257">
        <v>31.18</v>
      </c>
      <c r="G45" s="34">
        <f>F45*E45</f>
        <v>20.787706</v>
      </c>
      <c r="K45" s="31"/>
      <c r="L45" s="31"/>
      <c r="M45" s="31"/>
      <c r="N45" s="31"/>
      <c r="O45" s="31"/>
      <c r="P45" s="31"/>
      <c r="Q45" s="31"/>
      <c r="R45" s="31"/>
      <c r="S45" s="31"/>
      <c r="T45" s="31"/>
    </row>
    <row r="46" spans="2:20" ht="28.5" x14ac:dyDescent="0.25">
      <c r="B46" s="287" t="s">
        <v>327</v>
      </c>
      <c r="C46" s="257" t="s">
        <v>153</v>
      </c>
      <c r="D46" s="257" t="s">
        <v>52</v>
      </c>
      <c r="E46" s="257">
        <v>1</v>
      </c>
      <c r="F46" s="257">
        <v>14.68</v>
      </c>
      <c r="G46" s="34">
        <f>F46*E46</f>
        <v>14.68</v>
      </c>
      <c r="K46" s="31"/>
      <c r="L46" s="31"/>
      <c r="M46" s="31"/>
      <c r="N46" s="31"/>
      <c r="O46" s="31"/>
      <c r="P46" s="31"/>
      <c r="Q46" s="31"/>
      <c r="R46" s="31"/>
      <c r="S46" s="31"/>
      <c r="T46" s="31"/>
    </row>
    <row r="47" spans="2:20" x14ac:dyDescent="0.25">
      <c r="B47" s="35"/>
      <c r="C47" s="35"/>
      <c r="D47" s="388" t="s">
        <v>54</v>
      </c>
      <c r="E47" s="388"/>
      <c r="F47" s="34"/>
      <c r="G47" s="288">
        <v>0</v>
      </c>
      <c r="K47" s="31"/>
      <c r="L47" s="289"/>
      <c r="M47" s="283"/>
      <c r="N47" s="289"/>
      <c r="O47" s="291"/>
      <c r="P47" s="289"/>
      <c r="Q47" s="31"/>
      <c r="R47" s="31"/>
      <c r="S47" s="31"/>
      <c r="T47" s="31"/>
    </row>
    <row r="48" spans="2:20" x14ac:dyDescent="0.25">
      <c r="B48" s="35"/>
      <c r="C48" s="35"/>
      <c r="D48" s="389" t="s">
        <v>55</v>
      </c>
      <c r="E48" s="389"/>
      <c r="F48" s="34"/>
      <c r="G48" s="288">
        <f>F45*E45</f>
        <v>20.787706</v>
      </c>
      <c r="K48" s="31"/>
      <c r="L48" s="289"/>
      <c r="M48" s="286"/>
      <c r="N48" s="289"/>
      <c r="O48" s="291"/>
      <c r="P48" s="292"/>
      <c r="Q48" s="31"/>
      <c r="R48" s="31"/>
      <c r="S48" s="31"/>
      <c r="T48" s="31"/>
    </row>
    <row r="49" spans="2:20" x14ac:dyDescent="0.25">
      <c r="B49" s="35"/>
      <c r="C49" s="35"/>
      <c r="D49" s="389" t="s">
        <v>56</v>
      </c>
      <c r="E49" s="389"/>
      <c r="F49" s="34"/>
      <c r="G49" s="288">
        <v>0</v>
      </c>
      <c r="K49" s="31"/>
      <c r="L49" s="289"/>
      <c r="M49" s="286"/>
      <c r="N49" s="289"/>
      <c r="O49" s="291"/>
      <c r="P49" s="292"/>
      <c r="Q49" s="31"/>
      <c r="R49" s="31"/>
      <c r="S49" s="31"/>
      <c r="T49" s="31"/>
    </row>
    <row r="50" spans="2:20" x14ac:dyDescent="0.25">
      <c r="B50" s="35"/>
      <c r="C50" s="35"/>
      <c r="D50" s="389" t="s">
        <v>57</v>
      </c>
      <c r="E50" s="389"/>
      <c r="F50" s="34"/>
      <c r="G50" s="288">
        <f>F46*E46</f>
        <v>14.68</v>
      </c>
      <c r="K50" s="31"/>
      <c r="L50" s="289"/>
      <c r="M50" s="286"/>
      <c r="N50" s="289"/>
      <c r="O50" s="291"/>
      <c r="P50" s="292"/>
      <c r="Q50" s="31"/>
      <c r="R50" s="31"/>
      <c r="S50" s="31"/>
      <c r="T50" s="31"/>
    </row>
    <row r="51" spans="2:20" ht="15.75" x14ac:dyDescent="0.25">
      <c r="B51" s="39"/>
      <c r="C51" s="27"/>
      <c r="D51" s="390" t="s">
        <v>58</v>
      </c>
      <c r="E51" s="391"/>
      <c r="F51" s="40"/>
      <c r="G51" s="41">
        <f>SUM(G45:G46)</f>
        <v>35.467706</v>
      </c>
      <c r="K51" s="31"/>
      <c r="L51" s="289"/>
      <c r="M51" s="286"/>
      <c r="N51" s="289"/>
      <c r="O51" s="291"/>
      <c r="P51" s="292"/>
      <c r="Q51" s="31"/>
      <c r="R51" s="31"/>
      <c r="S51" s="31"/>
      <c r="T51" s="31"/>
    </row>
    <row r="52" spans="2:20" x14ac:dyDescent="0.25">
      <c r="B52" s="117"/>
      <c r="C52" s="117"/>
      <c r="D52" s="392" t="s">
        <v>59</v>
      </c>
      <c r="E52" s="392"/>
      <c r="F52" s="143"/>
      <c r="G52" s="256">
        <f>ROUND(G51*1.2637,2)</f>
        <v>44.82</v>
      </c>
      <c r="K52" s="31"/>
      <c r="L52" s="289"/>
      <c r="M52" s="286"/>
      <c r="N52" s="289"/>
      <c r="O52" s="291"/>
      <c r="P52" s="292"/>
      <c r="Q52" s="31"/>
      <c r="R52" s="31"/>
      <c r="S52" s="31"/>
      <c r="T52" s="31"/>
    </row>
    <row r="53" spans="2:20" x14ac:dyDescent="0.25">
      <c r="B53" s="284"/>
      <c r="C53" s="306"/>
      <c r="D53" s="415"/>
      <c r="E53" s="415"/>
      <c r="F53" s="305"/>
      <c r="G53" s="305"/>
      <c r="K53" s="31"/>
      <c r="L53" s="289"/>
      <c r="M53" s="286"/>
      <c r="N53" s="289"/>
      <c r="O53" s="291"/>
      <c r="P53" s="292"/>
      <c r="Q53" s="31"/>
      <c r="R53" s="31"/>
      <c r="S53" s="31"/>
      <c r="T53" s="31"/>
    </row>
    <row r="54" spans="2:20" ht="60" x14ac:dyDescent="0.25">
      <c r="B54" s="37" t="s">
        <v>154</v>
      </c>
      <c r="C54" s="37" t="s">
        <v>386</v>
      </c>
      <c r="D54" s="37" t="s">
        <v>50</v>
      </c>
      <c r="E54" s="34" t="s">
        <v>9</v>
      </c>
      <c r="F54" s="34"/>
      <c r="G54" s="34"/>
      <c r="K54" s="31"/>
      <c r="L54" s="289"/>
      <c r="M54" s="286"/>
      <c r="N54" s="289"/>
      <c r="O54" s="291"/>
      <c r="P54" s="292"/>
      <c r="Q54" s="31"/>
      <c r="R54" s="31"/>
      <c r="S54" s="31"/>
      <c r="T54" s="31"/>
    </row>
    <row r="55" spans="2:20" ht="28.5" x14ac:dyDescent="0.25">
      <c r="B55" s="287" t="s">
        <v>326</v>
      </c>
      <c r="C55" s="257" t="s">
        <v>179</v>
      </c>
      <c r="D55" s="298" t="s">
        <v>52</v>
      </c>
      <c r="E55" s="257">
        <v>1.5</v>
      </c>
      <c r="F55" s="257">
        <v>18.11</v>
      </c>
      <c r="G55" s="295">
        <f t="shared" ref="G55:G64" si="2">E55*F55</f>
        <v>27.164999999999999</v>
      </c>
      <c r="K55" s="31"/>
      <c r="L55" s="289"/>
      <c r="M55" s="286"/>
      <c r="N55" s="289"/>
      <c r="O55" s="291"/>
      <c r="P55" s="292"/>
      <c r="Q55" s="31"/>
      <c r="R55" s="31"/>
      <c r="S55" s="31"/>
      <c r="T55" s="31"/>
    </row>
    <row r="56" spans="2:20" ht="28.5" x14ac:dyDescent="0.25">
      <c r="B56" s="287" t="s">
        <v>327</v>
      </c>
      <c r="C56" s="257" t="s">
        <v>153</v>
      </c>
      <c r="D56" s="298" t="s">
        <v>52</v>
      </c>
      <c r="E56" s="257">
        <v>1</v>
      </c>
      <c r="F56" s="257">
        <v>14.68</v>
      </c>
      <c r="G56" s="295">
        <f t="shared" si="2"/>
        <v>14.68</v>
      </c>
      <c r="K56" s="31"/>
      <c r="L56" s="289"/>
      <c r="M56" s="286"/>
      <c r="N56" s="289"/>
      <c r="O56" s="291"/>
      <c r="P56" s="292"/>
      <c r="Q56" s="31"/>
      <c r="R56" s="31"/>
      <c r="S56" s="31"/>
      <c r="T56" s="31"/>
    </row>
    <row r="57" spans="2:20" ht="28.5" x14ac:dyDescent="0.25">
      <c r="B57" s="287" t="s">
        <v>388</v>
      </c>
      <c r="C57" s="257" t="s">
        <v>380</v>
      </c>
      <c r="D57" s="298" t="s">
        <v>52</v>
      </c>
      <c r="E57" s="257">
        <v>0.45</v>
      </c>
      <c r="F57" s="257">
        <v>14.85</v>
      </c>
      <c r="G57" s="295">
        <f t="shared" si="2"/>
        <v>6.6825000000000001</v>
      </c>
      <c r="K57" s="31"/>
      <c r="L57" s="289"/>
      <c r="M57" s="286"/>
      <c r="N57" s="289"/>
      <c r="O57" s="291"/>
      <c r="P57" s="292"/>
      <c r="Q57" s="31"/>
      <c r="R57" s="31"/>
      <c r="S57" s="31"/>
      <c r="T57" s="31"/>
    </row>
    <row r="58" spans="2:20" ht="71.25" x14ac:dyDescent="0.25">
      <c r="B58" s="287" t="s">
        <v>387</v>
      </c>
      <c r="C58" s="257" t="s">
        <v>381</v>
      </c>
      <c r="D58" s="257" t="s">
        <v>87</v>
      </c>
      <c r="E58" s="257">
        <v>4.0000000000000001E-3</v>
      </c>
      <c r="F58" s="257">
        <v>361.06</v>
      </c>
      <c r="G58" s="295">
        <f t="shared" si="2"/>
        <v>1.44424</v>
      </c>
      <c r="K58" s="31"/>
      <c r="L58" s="289"/>
      <c r="M58" s="286"/>
      <c r="N58" s="289"/>
      <c r="O58" s="291"/>
      <c r="P58" s="292"/>
      <c r="Q58" s="31"/>
      <c r="R58" s="31"/>
      <c r="S58" s="31"/>
      <c r="T58" s="31"/>
    </row>
    <row r="59" spans="2:20" ht="114" x14ac:dyDescent="0.25">
      <c r="B59" s="287" t="s">
        <v>389</v>
      </c>
      <c r="C59" s="257" t="s">
        <v>379</v>
      </c>
      <c r="D59" s="257" t="s">
        <v>176</v>
      </c>
      <c r="E59" s="257">
        <v>1</v>
      </c>
      <c r="F59" s="257">
        <v>12.51</v>
      </c>
      <c r="G59" s="295">
        <f t="shared" si="2"/>
        <v>12.51</v>
      </c>
      <c r="K59" s="31"/>
      <c r="L59" s="289"/>
      <c r="M59" s="286"/>
      <c r="N59" s="289"/>
      <c r="O59" s="291"/>
      <c r="P59" s="292"/>
      <c r="Q59" s="31"/>
      <c r="R59" s="31"/>
      <c r="S59" s="31"/>
      <c r="T59" s="31"/>
    </row>
    <row r="60" spans="2:20" ht="28.5" x14ac:dyDescent="0.25">
      <c r="B60" s="287" t="s">
        <v>390</v>
      </c>
      <c r="C60" s="257" t="s">
        <v>377</v>
      </c>
      <c r="D60" s="257" t="s">
        <v>86</v>
      </c>
      <c r="E60" s="257">
        <v>2.73</v>
      </c>
      <c r="F60" s="257">
        <v>308.77999999999997</v>
      </c>
      <c r="G60" s="295">
        <f t="shared" si="2"/>
        <v>842.96939999999995</v>
      </c>
      <c r="K60" s="31"/>
      <c r="L60" s="289"/>
      <c r="M60" s="286"/>
      <c r="N60" s="289"/>
      <c r="O60" s="291"/>
      <c r="P60" s="292"/>
      <c r="Q60" s="31"/>
      <c r="R60" s="31"/>
      <c r="S60" s="31"/>
      <c r="T60" s="31"/>
    </row>
    <row r="61" spans="2:20" ht="85.5" x14ac:dyDescent="0.25">
      <c r="B61" s="287" t="s">
        <v>391</v>
      </c>
      <c r="C61" s="257" t="s">
        <v>382</v>
      </c>
      <c r="D61" s="257" t="s">
        <v>157</v>
      </c>
      <c r="E61" s="257">
        <v>1</v>
      </c>
      <c r="F61" s="257">
        <v>42.74</v>
      </c>
      <c r="G61" s="295">
        <f t="shared" si="2"/>
        <v>42.74</v>
      </c>
      <c r="K61" s="31"/>
      <c r="L61" s="289"/>
      <c r="M61" s="286"/>
      <c r="N61" s="289"/>
      <c r="O61" s="291"/>
      <c r="P61" s="292"/>
      <c r="Q61" s="31"/>
      <c r="R61" s="31"/>
      <c r="S61" s="31"/>
      <c r="T61" s="31"/>
    </row>
    <row r="62" spans="2:20" ht="85.5" x14ac:dyDescent="0.25">
      <c r="B62" s="287" t="s">
        <v>392</v>
      </c>
      <c r="C62" s="257" t="s">
        <v>383</v>
      </c>
      <c r="D62" s="257" t="s">
        <v>384</v>
      </c>
      <c r="E62" s="257">
        <v>2</v>
      </c>
      <c r="F62" s="257">
        <v>26.52</v>
      </c>
      <c r="G62" s="295">
        <f t="shared" si="2"/>
        <v>53.04</v>
      </c>
      <c r="K62" s="31"/>
      <c r="L62" s="289"/>
      <c r="M62" s="286"/>
      <c r="N62" s="289"/>
      <c r="O62" s="291"/>
      <c r="P62" s="292"/>
      <c r="Q62" s="31"/>
      <c r="R62" s="31"/>
      <c r="S62" s="31"/>
      <c r="T62" s="31"/>
    </row>
    <row r="63" spans="2:20" ht="57" x14ac:dyDescent="0.25">
      <c r="B63" s="287" t="s">
        <v>393</v>
      </c>
      <c r="C63" s="257" t="s">
        <v>385</v>
      </c>
      <c r="D63" s="257" t="s">
        <v>88</v>
      </c>
      <c r="E63" s="257">
        <v>1.4</v>
      </c>
      <c r="F63" s="257">
        <v>23.4</v>
      </c>
      <c r="G63" s="295">
        <f t="shared" si="2"/>
        <v>32.76</v>
      </c>
      <c r="K63" s="31"/>
      <c r="L63" s="31"/>
      <c r="M63" s="31"/>
      <c r="N63" s="31"/>
      <c r="O63" s="31"/>
      <c r="P63" s="31"/>
      <c r="Q63" s="31"/>
      <c r="R63" s="31"/>
      <c r="S63" s="31"/>
      <c r="T63" s="31"/>
    </row>
    <row r="64" spans="2:20" ht="28.5" x14ac:dyDescent="0.25">
      <c r="B64" s="287" t="s">
        <v>394</v>
      </c>
      <c r="C64" s="257" t="s">
        <v>378</v>
      </c>
      <c r="D64" s="257" t="s">
        <v>176</v>
      </c>
      <c r="E64" s="257">
        <v>1</v>
      </c>
      <c r="F64" s="257">
        <v>1026.1099999999999</v>
      </c>
      <c r="G64" s="295">
        <f t="shared" si="2"/>
        <v>1026.1099999999999</v>
      </c>
      <c r="K64" s="31"/>
      <c r="L64" s="31"/>
      <c r="M64" s="31"/>
      <c r="N64" s="31"/>
      <c r="O64" s="31"/>
      <c r="P64" s="31"/>
      <c r="Q64" s="31"/>
      <c r="R64" s="31"/>
      <c r="S64" s="31"/>
      <c r="T64" s="31"/>
    </row>
    <row r="65" spans="2:20" x14ac:dyDescent="0.25">
      <c r="B65" s="35"/>
      <c r="C65" s="35"/>
      <c r="D65" s="388" t="s">
        <v>54</v>
      </c>
      <c r="E65" s="388"/>
      <c r="F65" s="34"/>
      <c r="G65" s="288">
        <v>0</v>
      </c>
      <c r="K65" s="31"/>
      <c r="L65" s="289"/>
      <c r="M65" s="283"/>
      <c r="N65" s="289"/>
      <c r="O65" s="291"/>
      <c r="P65" s="289"/>
      <c r="Q65" s="31"/>
      <c r="R65" s="31"/>
      <c r="S65" s="31"/>
      <c r="T65" s="31"/>
    </row>
    <row r="66" spans="2:20" x14ac:dyDescent="0.25">
      <c r="B66" s="35"/>
      <c r="C66" s="35"/>
      <c r="D66" s="389" t="s">
        <v>55</v>
      </c>
      <c r="E66" s="389"/>
      <c r="F66" s="34"/>
      <c r="G66" s="288">
        <v>0</v>
      </c>
      <c r="K66" s="31"/>
      <c r="L66" s="289"/>
      <c r="M66" s="286"/>
      <c r="N66" s="289"/>
      <c r="O66" s="291"/>
      <c r="P66" s="289"/>
      <c r="Q66" s="31"/>
      <c r="R66" s="31"/>
      <c r="S66" s="31"/>
      <c r="T66" s="31"/>
    </row>
    <row r="67" spans="2:20" x14ac:dyDescent="0.25">
      <c r="B67" s="35"/>
      <c r="C67" s="35"/>
      <c r="D67" s="389" t="s">
        <v>56</v>
      </c>
      <c r="E67" s="389"/>
      <c r="F67" s="34"/>
      <c r="G67" s="288">
        <f>SUM(G59:G64)+(0.004*344.03)</f>
        <v>2011.5055199999997</v>
      </c>
      <c r="K67" s="31"/>
      <c r="L67" s="289"/>
      <c r="M67" s="286"/>
      <c r="N67" s="289"/>
      <c r="O67" s="291"/>
      <c r="P67" s="292"/>
      <c r="Q67" s="31"/>
      <c r="R67" s="31"/>
      <c r="S67" s="31"/>
      <c r="T67" s="31"/>
    </row>
    <row r="68" spans="2:20" x14ac:dyDescent="0.25">
      <c r="B68" s="35"/>
      <c r="C68" s="35"/>
      <c r="D68" s="389" t="s">
        <v>57</v>
      </c>
      <c r="E68" s="389"/>
      <c r="F68" s="34"/>
      <c r="G68" s="288">
        <f>SUM(G55:G57)+(0.004*30.65)</f>
        <v>48.650099999999995</v>
      </c>
      <c r="K68" s="31"/>
      <c r="L68" s="289"/>
      <c r="M68" s="286"/>
      <c r="N68" s="289"/>
      <c r="O68" s="291"/>
      <c r="P68" s="292"/>
      <c r="Q68" s="31"/>
      <c r="R68" s="31"/>
      <c r="S68" s="31"/>
      <c r="T68" s="31"/>
    </row>
    <row r="69" spans="2:20" ht="15.75" x14ac:dyDescent="0.25">
      <c r="B69" s="39"/>
      <c r="C69" s="27"/>
      <c r="D69" s="390" t="s">
        <v>58</v>
      </c>
      <c r="E69" s="391"/>
      <c r="F69" s="40"/>
      <c r="G69" s="41">
        <f>G67+G68</f>
        <v>2060.1556199999995</v>
      </c>
      <c r="K69" s="31"/>
      <c r="L69" s="289"/>
      <c r="M69" s="286"/>
      <c r="N69" s="289"/>
      <c r="O69" s="291"/>
      <c r="P69" s="292"/>
      <c r="Q69" s="31"/>
      <c r="R69" s="31"/>
      <c r="S69" s="31"/>
      <c r="T69" s="31"/>
    </row>
    <row r="70" spans="2:20" x14ac:dyDescent="0.25">
      <c r="B70" s="117"/>
      <c r="C70" s="117"/>
      <c r="D70" s="392" t="s">
        <v>59</v>
      </c>
      <c r="E70" s="392"/>
      <c r="F70" s="143"/>
      <c r="G70" s="256">
        <f>ROUND(G69*1.2637,2)</f>
        <v>2603.42</v>
      </c>
      <c r="K70" s="31"/>
      <c r="L70" s="31"/>
      <c r="M70" s="31"/>
      <c r="N70" s="31"/>
      <c r="O70" s="31"/>
      <c r="P70" s="31"/>
      <c r="Q70" s="31"/>
      <c r="R70" s="31"/>
      <c r="S70" s="31"/>
      <c r="T70" s="31"/>
    </row>
    <row r="71" spans="2:20" x14ac:dyDescent="0.25">
      <c r="K71" s="31"/>
      <c r="L71" s="31"/>
      <c r="M71" s="31"/>
      <c r="N71" s="31"/>
      <c r="O71" s="31"/>
      <c r="P71" s="31"/>
      <c r="Q71" s="31"/>
      <c r="R71" s="31"/>
      <c r="S71" s="31"/>
      <c r="T71" s="31"/>
    </row>
    <row r="72" spans="2:20" ht="60" x14ac:dyDescent="0.25">
      <c r="B72" s="37" t="s">
        <v>481</v>
      </c>
      <c r="C72" s="37" t="s">
        <v>395</v>
      </c>
      <c r="D72" s="37" t="s">
        <v>50</v>
      </c>
      <c r="E72" s="34" t="s">
        <v>9</v>
      </c>
      <c r="F72" s="34"/>
      <c r="G72" s="34"/>
      <c r="K72" s="31"/>
      <c r="L72" s="289"/>
      <c r="M72" s="283"/>
      <c r="N72" s="289"/>
      <c r="O72" s="291"/>
      <c r="P72" s="289"/>
      <c r="Q72" s="31"/>
      <c r="R72" s="31"/>
      <c r="S72" s="31"/>
      <c r="T72" s="31"/>
    </row>
    <row r="73" spans="2:20" ht="28.5" x14ac:dyDescent="0.25">
      <c r="B73" s="287" t="s">
        <v>326</v>
      </c>
      <c r="C73" s="257" t="s">
        <v>179</v>
      </c>
      <c r="D73" s="298" t="s">
        <v>52</v>
      </c>
      <c r="E73" s="257">
        <v>1.5</v>
      </c>
      <c r="F73" s="257">
        <v>18.11</v>
      </c>
      <c r="G73" s="295">
        <f t="shared" ref="G73:G82" si="3">E73*F73</f>
        <v>27.164999999999999</v>
      </c>
      <c r="K73" s="31"/>
      <c r="L73" s="289"/>
      <c r="M73" s="286"/>
      <c r="N73" s="289"/>
      <c r="O73" s="291"/>
      <c r="P73" s="289"/>
      <c r="Q73" s="31"/>
      <c r="R73" s="31"/>
      <c r="S73" s="31"/>
      <c r="T73" s="31"/>
    </row>
    <row r="74" spans="2:20" ht="28.5" x14ac:dyDescent="0.25">
      <c r="B74" s="287" t="s">
        <v>327</v>
      </c>
      <c r="C74" s="257" t="s">
        <v>153</v>
      </c>
      <c r="D74" s="298" t="s">
        <v>52</v>
      </c>
      <c r="E74" s="257">
        <v>1</v>
      </c>
      <c r="F74" s="257">
        <v>14.68</v>
      </c>
      <c r="G74" s="295">
        <f t="shared" si="3"/>
        <v>14.68</v>
      </c>
      <c r="K74" s="31"/>
      <c r="L74" s="289"/>
      <c r="M74" s="286"/>
      <c r="N74" s="289"/>
      <c r="O74" s="291"/>
      <c r="P74" s="292"/>
      <c r="Q74" s="31"/>
      <c r="R74" s="31"/>
      <c r="S74" s="31"/>
      <c r="T74" s="31"/>
    </row>
    <row r="75" spans="2:20" ht="28.5" x14ac:dyDescent="0.25">
      <c r="B75" s="287" t="s">
        <v>388</v>
      </c>
      <c r="C75" s="257" t="s">
        <v>380</v>
      </c>
      <c r="D75" s="298" t="s">
        <v>52</v>
      </c>
      <c r="E75" s="257">
        <v>0.52</v>
      </c>
      <c r="F75" s="257">
        <v>14.85</v>
      </c>
      <c r="G75" s="295">
        <f t="shared" si="3"/>
        <v>7.7220000000000004</v>
      </c>
      <c r="K75" s="31"/>
      <c r="L75" s="289"/>
      <c r="M75" s="286"/>
      <c r="N75" s="289"/>
      <c r="O75" s="291"/>
      <c r="P75" s="292"/>
      <c r="Q75" s="31"/>
      <c r="R75" s="31"/>
      <c r="S75" s="31"/>
      <c r="T75" s="31"/>
    </row>
    <row r="76" spans="2:20" ht="71.25" x14ac:dyDescent="0.25">
      <c r="B76" s="287" t="s">
        <v>387</v>
      </c>
      <c r="C76" s="257" t="s">
        <v>381</v>
      </c>
      <c r="D76" s="257" t="s">
        <v>87</v>
      </c>
      <c r="E76" s="257">
        <v>4.0000000000000001E-3</v>
      </c>
      <c r="F76" s="257">
        <v>361.06</v>
      </c>
      <c r="G76" s="295">
        <f t="shared" si="3"/>
        <v>1.44424</v>
      </c>
      <c r="K76" s="31"/>
      <c r="L76" s="289"/>
      <c r="M76" s="286"/>
      <c r="N76" s="289"/>
      <c r="O76" s="291"/>
      <c r="P76" s="292"/>
      <c r="Q76" s="31"/>
      <c r="R76" s="31"/>
      <c r="S76" s="31"/>
      <c r="T76" s="31"/>
    </row>
    <row r="77" spans="2:20" ht="114" x14ac:dyDescent="0.25">
      <c r="B77" s="287" t="s">
        <v>389</v>
      </c>
      <c r="C77" s="257" t="s">
        <v>379</v>
      </c>
      <c r="D77" s="257" t="s">
        <v>176</v>
      </c>
      <c r="E77" s="257">
        <v>1</v>
      </c>
      <c r="F77" s="257">
        <v>12.51</v>
      </c>
      <c r="G77" s="295">
        <f t="shared" si="3"/>
        <v>12.51</v>
      </c>
      <c r="K77" s="31"/>
      <c r="L77" s="289"/>
      <c r="M77" s="286"/>
      <c r="N77" s="289"/>
      <c r="O77" s="291"/>
      <c r="P77" s="292"/>
      <c r="Q77" s="31"/>
      <c r="R77" s="31"/>
      <c r="S77" s="31"/>
      <c r="T77" s="31"/>
    </row>
    <row r="78" spans="2:20" ht="28.5" x14ac:dyDescent="0.25">
      <c r="B78" s="287" t="s">
        <v>390</v>
      </c>
      <c r="C78" s="310" t="s">
        <v>377</v>
      </c>
      <c r="D78" s="310" t="s">
        <v>86</v>
      </c>
      <c r="E78" s="310">
        <v>3.68</v>
      </c>
      <c r="F78" s="310">
        <v>308.77999999999997</v>
      </c>
      <c r="G78" s="295">
        <f t="shared" si="3"/>
        <v>1136.3103999999998</v>
      </c>
      <c r="K78" s="31"/>
      <c r="L78" s="31"/>
      <c r="M78" s="31"/>
      <c r="N78" s="31"/>
      <c r="O78" s="31"/>
      <c r="P78" s="31"/>
      <c r="Q78" s="31"/>
      <c r="R78" s="31"/>
      <c r="S78" s="31"/>
      <c r="T78" s="31"/>
    </row>
    <row r="79" spans="2:20" ht="85.5" x14ac:dyDescent="0.25">
      <c r="B79" s="287" t="s">
        <v>391</v>
      </c>
      <c r="C79" s="257" t="s">
        <v>382</v>
      </c>
      <c r="D79" s="257" t="s">
        <v>157</v>
      </c>
      <c r="E79" s="257">
        <v>1</v>
      </c>
      <c r="F79" s="257">
        <v>42.74</v>
      </c>
      <c r="G79" s="295">
        <f t="shared" si="3"/>
        <v>42.74</v>
      </c>
      <c r="K79" s="31"/>
      <c r="L79" s="31"/>
      <c r="M79" s="31"/>
      <c r="N79" s="31"/>
      <c r="O79" s="31"/>
      <c r="P79" s="31"/>
      <c r="Q79" s="31"/>
      <c r="R79" s="31"/>
      <c r="S79" s="31"/>
      <c r="T79" s="31"/>
    </row>
    <row r="80" spans="2:20" ht="85.5" x14ac:dyDescent="0.25">
      <c r="B80" s="287" t="s">
        <v>392</v>
      </c>
      <c r="C80" s="257" t="s">
        <v>383</v>
      </c>
      <c r="D80" s="257" t="s">
        <v>384</v>
      </c>
      <c r="E80" s="257">
        <v>2</v>
      </c>
      <c r="F80" s="257">
        <v>26.52</v>
      </c>
      <c r="G80" s="295">
        <f t="shared" si="3"/>
        <v>53.04</v>
      </c>
      <c r="K80" s="31"/>
      <c r="L80" s="289"/>
      <c r="M80" s="283"/>
      <c r="N80" s="289"/>
      <c r="O80" s="291"/>
      <c r="P80" s="289"/>
      <c r="Q80" s="31"/>
      <c r="R80" s="31"/>
      <c r="S80" s="31"/>
      <c r="T80" s="31"/>
    </row>
    <row r="81" spans="2:20" ht="57" x14ac:dyDescent="0.25">
      <c r="B81" s="287" t="s">
        <v>393</v>
      </c>
      <c r="C81" s="257" t="s">
        <v>385</v>
      </c>
      <c r="D81" s="257" t="s">
        <v>88</v>
      </c>
      <c r="E81" s="257">
        <v>1.85</v>
      </c>
      <c r="F81" s="257">
        <v>23.4</v>
      </c>
      <c r="G81" s="295">
        <f t="shared" si="3"/>
        <v>43.29</v>
      </c>
      <c r="K81" s="31"/>
      <c r="L81" s="289"/>
      <c r="M81" s="286"/>
      <c r="N81" s="289"/>
      <c r="O81" s="291"/>
      <c r="P81" s="292"/>
      <c r="Q81" s="31"/>
      <c r="R81" s="31"/>
      <c r="S81" s="31"/>
      <c r="T81" s="31"/>
    </row>
    <row r="82" spans="2:20" ht="28.5" x14ac:dyDescent="0.25">
      <c r="B82" s="287" t="s">
        <v>394</v>
      </c>
      <c r="C82" s="257" t="s">
        <v>378</v>
      </c>
      <c r="D82" s="257" t="s">
        <v>176</v>
      </c>
      <c r="E82" s="257">
        <v>1</v>
      </c>
      <c r="F82" s="257">
        <v>1026.1099999999999</v>
      </c>
      <c r="G82" s="295">
        <f t="shared" si="3"/>
        <v>1026.1099999999999</v>
      </c>
      <c r="K82" s="31"/>
      <c r="L82" s="289"/>
      <c r="M82" s="286"/>
      <c r="N82" s="289"/>
      <c r="O82" s="291"/>
      <c r="P82" s="292"/>
      <c r="Q82" s="31"/>
      <c r="R82" s="31"/>
      <c r="S82" s="31"/>
      <c r="T82" s="31"/>
    </row>
    <row r="83" spans="2:20" x14ac:dyDescent="0.25">
      <c r="B83" s="35"/>
      <c r="C83" s="35"/>
      <c r="D83" s="388" t="s">
        <v>54</v>
      </c>
      <c r="E83" s="388"/>
      <c r="F83" s="34"/>
      <c r="G83" s="288">
        <v>0</v>
      </c>
      <c r="K83" s="31"/>
      <c r="L83" s="289"/>
      <c r="M83" s="286"/>
      <c r="N83" s="289"/>
      <c r="O83" s="291"/>
      <c r="P83" s="292"/>
      <c r="Q83" s="31"/>
      <c r="R83" s="31"/>
      <c r="S83" s="31"/>
      <c r="T83" s="31"/>
    </row>
    <row r="84" spans="2:20" ht="105" customHeight="1" x14ac:dyDescent="0.25">
      <c r="B84" s="35"/>
      <c r="C84" s="35"/>
      <c r="D84" s="389" t="s">
        <v>55</v>
      </c>
      <c r="E84" s="389"/>
      <c r="F84" s="34"/>
      <c r="G84" s="288">
        <v>0</v>
      </c>
      <c r="K84" s="31"/>
      <c r="L84" s="289"/>
      <c r="M84" s="286"/>
      <c r="N84" s="289"/>
      <c r="O84" s="291"/>
      <c r="P84" s="292"/>
      <c r="Q84" s="31"/>
      <c r="R84" s="31"/>
      <c r="S84" s="31"/>
      <c r="T84" s="31"/>
    </row>
    <row r="85" spans="2:20" x14ac:dyDescent="0.25">
      <c r="B85" s="35"/>
      <c r="C85" s="35"/>
      <c r="D85" s="389" t="s">
        <v>56</v>
      </c>
      <c r="E85" s="389"/>
      <c r="F85" s="34"/>
      <c r="G85" s="288">
        <f>SUM(G77:G82)+(0.004*344.03)</f>
        <v>2315.3765199999998</v>
      </c>
      <c r="I85" s="289"/>
      <c r="K85" s="31"/>
      <c r="L85" s="289"/>
      <c r="M85" s="286"/>
      <c r="N85" s="289"/>
      <c r="O85" s="291"/>
      <c r="P85" s="289"/>
      <c r="Q85" s="31"/>
      <c r="R85" s="31"/>
      <c r="S85" s="31"/>
      <c r="T85" s="31"/>
    </row>
    <row r="86" spans="2:20" x14ac:dyDescent="0.25">
      <c r="B86" s="35"/>
      <c r="C86" s="35"/>
      <c r="D86" s="389" t="s">
        <v>57</v>
      </c>
      <c r="E86" s="389"/>
      <c r="F86" s="34"/>
      <c r="G86" s="288">
        <f>SUM(G73:G75)+(0.004*30.65)</f>
        <v>49.689599999999999</v>
      </c>
      <c r="I86" s="289"/>
      <c r="K86" s="31"/>
      <c r="L86" s="31"/>
      <c r="M86" s="31"/>
      <c r="N86" s="31"/>
      <c r="O86" s="31"/>
      <c r="P86" s="31"/>
      <c r="Q86" s="31"/>
      <c r="R86" s="31"/>
      <c r="S86" s="31"/>
      <c r="T86" s="31"/>
    </row>
    <row r="87" spans="2:20" s="244" customFormat="1" ht="15.75" x14ac:dyDescent="0.25">
      <c r="B87" s="39"/>
      <c r="C87" s="27"/>
      <c r="D87" s="390" t="s">
        <v>58</v>
      </c>
      <c r="E87" s="391"/>
      <c r="F87" s="40"/>
      <c r="G87" s="41">
        <f>G85+G86</f>
        <v>2365.06612</v>
      </c>
      <c r="I87" s="289"/>
      <c r="K87" s="31"/>
      <c r="L87" s="31"/>
      <c r="M87" s="31"/>
      <c r="N87" s="31"/>
      <c r="O87" s="31"/>
      <c r="P87" s="31"/>
      <c r="Q87" s="31"/>
      <c r="R87" s="31"/>
      <c r="S87" s="31"/>
      <c r="T87" s="31"/>
    </row>
    <row r="88" spans="2:20" s="244" customFormat="1" x14ac:dyDescent="0.25">
      <c r="B88" s="117"/>
      <c r="C88" s="117"/>
      <c r="D88" s="392" t="s">
        <v>59</v>
      </c>
      <c r="E88" s="392"/>
      <c r="F88" s="143"/>
      <c r="G88" s="256">
        <f>ROUND(G87*1.2637,2)</f>
        <v>2988.73</v>
      </c>
      <c r="I88" s="289"/>
      <c r="K88" s="31"/>
      <c r="L88" s="31"/>
      <c r="M88" s="31"/>
      <c r="N88" s="31"/>
      <c r="O88" s="31"/>
      <c r="P88" s="31"/>
      <c r="Q88" s="31"/>
      <c r="R88" s="31"/>
      <c r="S88" s="31"/>
      <c r="T88" s="31"/>
    </row>
    <row r="89" spans="2:20" s="244" customFormat="1" x14ac:dyDescent="0.25">
      <c r="B89"/>
      <c r="C89"/>
      <c r="D89"/>
      <c r="E89"/>
      <c r="F89"/>
      <c r="G89"/>
      <c r="I89" s="289"/>
      <c r="R89" s="284"/>
    </row>
    <row r="90" spans="2:20" s="244" customFormat="1" ht="60" x14ac:dyDescent="0.25">
      <c r="B90" s="37" t="s">
        <v>482</v>
      </c>
      <c r="C90" s="37" t="s">
        <v>420</v>
      </c>
      <c r="D90" s="37" t="s">
        <v>50</v>
      </c>
      <c r="E90" s="34" t="s">
        <v>9</v>
      </c>
      <c r="F90" s="34"/>
      <c r="G90" s="34"/>
      <c r="I90" s="289"/>
      <c r="R90" s="284"/>
    </row>
    <row r="91" spans="2:20" s="244" customFormat="1" ht="85.5" x14ac:dyDescent="0.25">
      <c r="B91" s="287" t="s">
        <v>422</v>
      </c>
      <c r="C91" s="259" t="s">
        <v>421</v>
      </c>
      <c r="D91" s="259" t="s">
        <v>423</v>
      </c>
      <c r="E91" s="259">
        <v>1.5</v>
      </c>
      <c r="F91" s="259">
        <v>67.41</v>
      </c>
      <c r="G91" s="259">
        <f t="shared" ref="G91:G102" si="4">E91*F91</f>
        <v>101.11499999999999</v>
      </c>
      <c r="I91" s="289"/>
      <c r="R91" s="284"/>
    </row>
    <row r="92" spans="2:20" s="244" customFormat="1" ht="71.25" x14ac:dyDescent="0.25">
      <c r="B92" s="287" t="s">
        <v>425</v>
      </c>
      <c r="C92" s="259" t="s">
        <v>424</v>
      </c>
      <c r="D92" s="259" t="s">
        <v>50</v>
      </c>
      <c r="E92" s="259">
        <v>12</v>
      </c>
      <c r="F92" s="259">
        <v>8.0500000000000007</v>
      </c>
      <c r="G92" s="259">
        <f t="shared" si="4"/>
        <v>96.600000000000009</v>
      </c>
      <c r="I92" s="289"/>
      <c r="R92" s="284"/>
    </row>
    <row r="93" spans="2:20" s="244" customFormat="1" ht="85.5" x14ac:dyDescent="0.25">
      <c r="B93" s="287" t="s">
        <v>427</v>
      </c>
      <c r="C93" s="259" t="s">
        <v>426</v>
      </c>
      <c r="D93" s="259" t="s">
        <v>50</v>
      </c>
      <c r="E93" s="259">
        <v>4</v>
      </c>
      <c r="F93" s="259">
        <v>152.11000000000001</v>
      </c>
      <c r="G93" s="259">
        <f t="shared" si="4"/>
        <v>608.44000000000005</v>
      </c>
      <c r="I93" s="289"/>
      <c r="R93" s="284"/>
    </row>
    <row r="94" spans="2:20" s="244" customFormat="1" ht="57" x14ac:dyDescent="0.25">
      <c r="B94" s="287" t="s">
        <v>429</v>
      </c>
      <c r="C94" s="259" t="s">
        <v>428</v>
      </c>
      <c r="D94" s="259" t="s">
        <v>50</v>
      </c>
      <c r="E94" s="259">
        <v>12</v>
      </c>
      <c r="F94" s="259">
        <v>0.27</v>
      </c>
      <c r="G94" s="259">
        <f t="shared" si="4"/>
        <v>3.24</v>
      </c>
      <c r="I94" s="289"/>
      <c r="R94" s="284"/>
    </row>
    <row r="95" spans="2:20" s="244" customFormat="1" ht="85.5" x14ac:dyDescent="0.25">
      <c r="B95" s="287" t="s">
        <v>436</v>
      </c>
      <c r="C95" s="259" t="s">
        <v>432</v>
      </c>
      <c r="D95" s="259" t="s">
        <v>88</v>
      </c>
      <c r="E95" s="259">
        <v>21.6</v>
      </c>
      <c r="F95" s="259">
        <v>3.08</v>
      </c>
      <c r="G95" s="295">
        <f t="shared" si="4"/>
        <v>66.528000000000006</v>
      </c>
      <c r="I95" s="289"/>
      <c r="R95" s="284"/>
    </row>
    <row r="96" spans="2:20" s="244" customFormat="1" ht="28.5" x14ac:dyDescent="0.25">
      <c r="B96" s="287" t="s">
        <v>437</v>
      </c>
      <c r="C96" s="259" t="s">
        <v>430</v>
      </c>
      <c r="D96" s="259" t="s">
        <v>173</v>
      </c>
      <c r="E96" s="259">
        <v>24.22</v>
      </c>
      <c r="F96" s="259">
        <v>12.11</v>
      </c>
      <c r="G96" s="295">
        <f t="shared" si="4"/>
        <v>293.30419999999998</v>
      </c>
      <c r="I96" s="289"/>
      <c r="R96" s="284"/>
    </row>
    <row r="97" spans="2:18" s="244" customFormat="1" ht="57" x14ac:dyDescent="0.25">
      <c r="B97" s="287" t="s">
        <v>438</v>
      </c>
      <c r="C97" s="259" t="s">
        <v>433</v>
      </c>
      <c r="D97" s="259" t="s">
        <v>88</v>
      </c>
      <c r="E97" s="259">
        <v>0.36</v>
      </c>
      <c r="F97" s="259">
        <v>20.8</v>
      </c>
      <c r="G97" s="295">
        <f t="shared" si="4"/>
        <v>7.4879999999999995</v>
      </c>
      <c r="I97" s="289"/>
      <c r="R97" s="284"/>
    </row>
    <row r="98" spans="2:18" ht="42.75" x14ac:dyDescent="0.25">
      <c r="B98" s="287" t="s">
        <v>439</v>
      </c>
      <c r="C98" s="259" t="s">
        <v>431</v>
      </c>
      <c r="D98" s="259" t="s">
        <v>52</v>
      </c>
      <c r="E98" s="259">
        <v>4.38</v>
      </c>
      <c r="F98" s="259">
        <v>17.170000000000002</v>
      </c>
      <c r="G98" s="295">
        <f t="shared" si="4"/>
        <v>75.204599999999999</v>
      </c>
      <c r="I98" s="284"/>
      <c r="K98" s="35"/>
    </row>
    <row r="99" spans="2:18" ht="28.5" x14ac:dyDescent="0.25">
      <c r="B99" s="287" t="s">
        <v>326</v>
      </c>
      <c r="C99" s="259" t="s">
        <v>179</v>
      </c>
      <c r="D99" s="259" t="s">
        <v>52</v>
      </c>
      <c r="E99" s="259">
        <v>3.024</v>
      </c>
      <c r="F99" s="259">
        <v>17.11</v>
      </c>
      <c r="G99" s="295">
        <f t="shared" si="4"/>
        <v>51.740639999999999</v>
      </c>
      <c r="I99" s="284"/>
      <c r="K99" s="35"/>
    </row>
    <row r="100" spans="2:18" ht="28.5" x14ac:dyDescent="0.25">
      <c r="B100" s="287" t="s">
        <v>327</v>
      </c>
      <c r="C100" s="259" t="s">
        <v>153</v>
      </c>
      <c r="D100" s="259" t="s">
        <v>52</v>
      </c>
      <c r="E100" s="259">
        <v>7.4039999999999999</v>
      </c>
      <c r="F100" s="259">
        <v>14.68</v>
      </c>
      <c r="G100" s="295">
        <f t="shared" si="4"/>
        <v>108.69072</v>
      </c>
      <c r="I100" s="284"/>
      <c r="K100" s="286"/>
    </row>
    <row r="101" spans="2:18" ht="85.5" x14ac:dyDescent="0.25">
      <c r="B101" s="287" t="s">
        <v>355</v>
      </c>
      <c r="C101" s="259" t="s">
        <v>434</v>
      </c>
      <c r="D101" s="259" t="s">
        <v>87</v>
      </c>
      <c r="E101" s="259">
        <v>2.1600000000000001E-2</v>
      </c>
      <c r="F101" s="259">
        <v>398.53</v>
      </c>
      <c r="G101" s="295">
        <f t="shared" si="4"/>
        <v>8.6082479999999997</v>
      </c>
      <c r="H101" s="87"/>
      <c r="I101" s="284"/>
      <c r="K101" s="31"/>
    </row>
    <row r="102" spans="2:18" ht="71.25" x14ac:dyDescent="0.25">
      <c r="B102" s="287" t="s">
        <v>440</v>
      </c>
      <c r="C102" s="259" t="s">
        <v>435</v>
      </c>
      <c r="D102" s="259" t="s">
        <v>86</v>
      </c>
      <c r="E102" s="259">
        <v>5.04</v>
      </c>
      <c r="F102" s="259">
        <v>27.84</v>
      </c>
      <c r="G102" s="295">
        <f t="shared" si="4"/>
        <v>140.31360000000001</v>
      </c>
      <c r="I102" s="284"/>
      <c r="K102" s="286"/>
    </row>
    <row r="103" spans="2:18" x14ac:dyDescent="0.25">
      <c r="B103" s="35"/>
      <c r="C103" s="35"/>
      <c r="D103" s="388" t="s">
        <v>54</v>
      </c>
      <c r="E103" s="388"/>
      <c r="F103" s="34"/>
      <c r="G103" s="288">
        <v>0</v>
      </c>
      <c r="I103" s="284"/>
      <c r="K103" s="286"/>
    </row>
    <row r="104" spans="2:18" x14ac:dyDescent="0.25">
      <c r="B104" s="35"/>
      <c r="C104" s="35"/>
      <c r="D104" s="389" t="s">
        <v>55</v>
      </c>
      <c r="E104" s="389"/>
      <c r="F104" s="34"/>
      <c r="G104" s="288">
        <v>0</v>
      </c>
      <c r="I104" s="284"/>
      <c r="K104" s="35"/>
    </row>
    <row r="105" spans="2:18" x14ac:dyDescent="0.25">
      <c r="B105" s="35"/>
      <c r="C105" s="35"/>
      <c r="D105" s="389" t="s">
        <v>56</v>
      </c>
      <c r="E105" s="389"/>
      <c r="F105" s="34"/>
      <c r="G105" s="288">
        <f>SUM(G95:G100)+(0.004*344.03)</f>
        <v>604.33227999999997</v>
      </c>
      <c r="I105" s="284"/>
      <c r="K105" s="35"/>
    </row>
    <row r="106" spans="2:18" x14ac:dyDescent="0.25">
      <c r="B106" s="35"/>
      <c r="C106" s="35"/>
      <c r="D106" s="389" t="s">
        <v>57</v>
      </c>
      <c r="E106" s="389"/>
      <c r="F106" s="34"/>
      <c r="G106" s="288">
        <f>SUM(G91:G93)+(0.004*30.65)</f>
        <v>806.27760000000012</v>
      </c>
      <c r="I106" s="290"/>
      <c r="K106" s="35"/>
    </row>
    <row r="107" spans="2:18" ht="15.75" x14ac:dyDescent="0.25">
      <c r="B107" s="39"/>
      <c r="C107" s="27"/>
      <c r="D107" s="390" t="s">
        <v>58</v>
      </c>
      <c r="E107" s="391"/>
      <c r="F107" s="40"/>
      <c r="G107" s="41">
        <f>SUM(G91:G102)</f>
        <v>1561.2730080000001</v>
      </c>
      <c r="I107" s="290"/>
      <c r="K107" s="286"/>
    </row>
    <row r="108" spans="2:18" x14ac:dyDescent="0.25">
      <c r="B108" s="117"/>
      <c r="C108" s="117"/>
      <c r="D108" s="392" t="s">
        <v>59</v>
      </c>
      <c r="E108" s="392"/>
      <c r="F108" s="143"/>
      <c r="G108" s="258">
        <f>ROUND(G107*1.2637,2)</f>
        <v>1972.98</v>
      </c>
      <c r="I108" s="290"/>
      <c r="K108" s="286"/>
    </row>
    <row r="110" spans="2:18" ht="75" x14ac:dyDescent="0.25">
      <c r="B110" s="37" t="s">
        <v>483</v>
      </c>
      <c r="C110" s="37" t="s">
        <v>477</v>
      </c>
      <c r="D110" s="37" t="s">
        <v>50</v>
      </c>
      <c r="E110" s="34" t="s">
        <v>9</v>
      </c>
      <c r="F110" s="34"/>
      <c r="G110" s="34"/>
    </row>
    <row r="111" spans="2:18" ht="28.5" x14ac:dyDescent="0.25">
      <c r="B111" s="287" t="s">
        <v>326</v>
      </c>
      <c r="C111" s="310" t="s">
        <v>179</v>
      </c>
      <c r="D111" s="298" t="s">
        <v>52</v>
      </c>
      <c r="E111" s="310">
        <v>1.9</v>
      </c>
      <c r="F111" s="310">
        <v>18.11</v>
      </c>
      <c r="G111" s="295">
        <f t="shared" ref="G111:G118" si="5">E111*F111</f>
        <v>34.408999999999999</v>
      </c>
    </row>
    <row r="112" spans="2:18" ht="28.5" x14ac:dyDescent="0.25">
      <c r="B112" s="287" t="s">
        <v>327</v>
      </c>
      <c r="C112" s="310" t="s">
        <v>153</v>
      </c>
      <c r="D112" s="298" t="s">
        <v>52</v>
      </c>
      <c r="E112" s="310">
        <v>1.3</v>
      </c>
      <c r="F112" s="310">
        <v>14.68</v>
      </c>
      <c r="G112" s="295">
        <f t="shared" si="5"/>
        <v>19.084</v>
      </c>
    </row>
    <row r="113" spans="2:7" ht="28.5" x14ac:dyDescent="0.25">
      <c r="B113" s="287" t="s">
        <v>388</v>
      </c>
      <c r="C113" s="310" t="s">
        <v>380</v>
      </c>
      <c r="D113" s="298" t="s">
        <v>52</v>
      </c>
      <c r="E113" s="310">
        <v>0.67</v>
      </c>
      <c r="F113" s="310">
        <v>14.85</v>
      </c>
      <c r="G113" s="295">
        <f t="shared" si="5"/>
        <v>9.9495000000000005</v>
      </c>
    </row>
    <row r="114" spans="2:7" ht="71.25" x14ac:dyDescent="0.25">
      <c r="B114" s="287" t="s">
        <v>387</v>
      </c>
      <c r="C114" s="310" t="s">
        <v>381</v>
      </c>
      <c r="D114" s="310" t="s">
        <v>87</v>
      </c>
      <c r="E114" s="310">
        <v>4.0000000000000001E-3</v>
      </c>
      <c r="F114" s="310">
        <v>361.06</v>
      </c>
      <c r="G114" s="295">
        <f t="shared" si="5"/>
        <v>1.44424</v>
      </c>
    </row>
    <row r="115" spans="2:7" ht="114" x14ac:dyDescent="0.25">
      <c r="B115" s="287" t="s">
        <v>389</v>
      </c>
      <c r="C115" s="310" t="s">
        <v>379</v>
      </c>
      <c r="D115" s="310" t="s">
        <v>176</v>
      </c>
      <c r="E115" s="310">
        <v>2</v>
      </c>
      <c r="F115" s="310">
        <v>12.51</v>
      </c>
      <c r="G115" s="295">
        <f t="shared" si="5"/>
        <v>25.02</v>
      </c>
    </row>
    <row r="116" spans="2:7" ht="28.5" x14ac:dyDescent="0.25">
      <c r="B116" s="287" t="s">
        <v>390</v>
      </c>
      <c r="C116" s="310" t="s">
        <v>377</v>
      </c>
      <c r="D116" s="310" t="s">
        <v>86</v>
      </c>
      <c r="E116" s="310">
        <v>4.7249999999999996</v>
      </c>
      <c r="F116" s="310">
        <v>308.77999999999997</v>
      </c>
      <c r="G116" s="295">
        <f t="shared" si="5"/>
        <v>1458.9854999999998</v>
      </c>
    </row>
    <row r="117" spans="2:7" ht="85.5" x14ac:dyDescent="0.25">
      <c r="B117" s="287" t="s">
        <v>391</v>
      </c>
      <c r="C117" s="310" t="s">
        <v>382</v>
      </c>
      <c r="D117" s="310" t="s">
        <v>157</v>
      </c>
      <c r="E117" s="310">
        <v>1</v>
      </c>
      <c r="F117" s="310">
        <v>42.74</v>
      </c>
      <c r="G117" s="295">
        <f t="shared" si="5"/>
        <v>42.74</v>
      </c>
    </row>
    <row r="118" spans="2:7" ht="28.5" x14ac:dyDescent="0.25">
      <c r="B118" s="287" t="s">
        <v>394</v>
      </c>
      <c r="C118" s="310" t="s">
        <v>378</v>
      </c>
      <c r="D118" s="310" t="s">
        <v>176</v>
      </c>
      <c r="E118" s="310">
        <v>1</v>
      </c>
      <c r="F118" s="310">
        <v>1026.1099999999999</v>
      </c>
      <c r="G118" s="295">
        <f t="shared" si="5"/>
        <v>1026.1099999999999</v>
      </c>
    </row>
    <row r="119" spans="2:7" x14ac:dyDescent="0.25">
      <c r="B119" s="35"/>
      <c r="C119" s="35"/>
      <c r="D119" s="388" t="s">
        <v>54</v>
      </c>
      <c r="E119" s="388"/>
      <c r="F119" s="34"/>
      <c r="G119" s="288">
        <v>0</v>
      </c>
    </row>
    <row r="120" spans="2:7" x14ac:dyDescent="0.25">
      <c r="B120" s="35"/>
      <c r="C120" s="35"/>
      <c r="D120" s="389" t="s">
        <v>55</v>
      </c>
      <c r="E120" s="389"/>
      <c r="F120" s="34"/>
      <c r="G120" s="288">
        <v>0</v>
      </c>
    </row>
    <row r="121" spans="2:7" x14ac:dyDescent="0.25">
      <c r="B121" s="35"/>
      <c r="C121" s="35"/>
      <c r="D121" s="389" t="s">
        <v>56</v>
      </c>
      <c r="E121" s="389"/>
      <c r="F121" s="34"/>
      <c r="G121" s="288">
        <f>SUM(G115:G118)+(0.004*344.03)</f>
        <v>2554.2316199999996</v>
      </c>
    </row>
    <row r="122" spans="2:7" x14ac:dyDescent="0.25">
      <c r="B122" s="35"/>
      <c r="C122" s="35"/>
      <c r="D122" s="389" t="s">
        <v>57</v>
      </c>
      <c r="E122" s="389"/>
      <c r="F122" s="34"/>
      <c r="G122" s="288">
        <f>SUM(G111:G113)+(0.004*30.65)</f>
        <v>63.565099999999994</v>
      </c>
    </row>
    <row r="123" spans="2:7" ht="15.75" x14ac:dyDescent="0.25">
      <c r="B123" s="39"/>
      <c r="C123" s="27"/>
      <c r="D123" s="390" t="s">
        <v>58</v>
      </c>
      <c r="E123" s="391"/>
      <c r="F123" s="40"/>
      <c r="G123" s="41">
        <f>G121+G122</f>
        <v>2617.7967199999994</v>
      </c>
    </row>
    <row r="124" spans="2:7" x14ac:dyDescent="0.25">
      <c r="B124" s="117"/>
      <c r="C124" s="117"/>
      <c r="D124" s="392" t="s">
        <v>59</v>
      </c>
      <c r="E124" s="392"/>
      <c r="F124" s="143"/>
      <c r="G124" s="309">
        <f>ROUND(G123*1.2637,2)</f>
        <v>3308.11</v>
      </c>
    </row>
    <row r="126" spans="2:7" ht="75" x14ac:dyDescent="0.25">
      <c r="B126" s="37" t="s">
        <v>324</v>
      </c>
      <c r="C126" s="37" t="s">
        <v>478</v>
      </c>
      <c r="D126" s="37" t="s">
        <v>50</v>
      </c>
      <c r="E126" s="34" t="s">
        <v>9</v>
      </c>
      <c r="F126" s="34"/>
      <c r="G126" s="34"/>
    </row>
    <row r="127" spans="2:7" ht="28.5" x14ac:dyDescent="0.25">
      <c r="B127" s="287" t="s">
        <v>326</v>
      </c>
      <c r="C127" s="310" t="s">
        <v>179</v>
      </c>
      <c r="D127" s="298" t="s">
        <v>52</v>
      </c>
      <c r="E127" s="310">
        <v>1.7</v>
      </c>
      <c r="F127" s="310">
        <v>18.11</v>
      </c>
      <c r="G127" s="295">
        <f t="shared" ref="G127:G134" si="6">E127*F127</f>
        <v>30.786999999999999</v>
      </c>
    </row>
    <row r="128" spans="2:7" ht="28.5" x14ac:dyDescent="0.25">
      <c r="B128" s="287" t="s">
        <v>327</v>
      </c>
      <c r="C128" s="310" t="s">
        <v>153</v>
      </c>
      <c r="D128" s="298" t="s">
        <v>52</v>
      </c>
      <c r="E128" s="310">
        <v>1.1000000000000001</v>
      </c>
      <c r="F128" s="310">
        <v>14.68</v>
      </c>
      <c r="G128" s="295">
        <f t="shared" si="6"/>
        <v>16.148</v>
      </c>
    </row>
    <row r="129" spans="2:9" ht="28.5" x14ac:dyDescent="0.25">
      <c r="B129" s="287" t="s">
        <v>388</v>
      </c>
      <c r="C129" s="310" t="s">
        <v>380</v>
      </c>
      <c r="D129" s="298" t="s">
        <v>52</v>
      </c>
      <c r="E129" s="310">
        <v>0.57999999999999996</v>
      </c>
      <c r="F129" s="310">
        <v>14.85</v>
      </c>
      <c r="G129" s="295">
        <f t="shared" si="6"/>
        <v>8.6129999999999995</v>
      </c>
    </row>
    <row r="130" spans="2:9" ht="71.25" x14ac:dyDescent="0.25">
      <c r="B130" s="287" t="s">
        <v>387</v>
      </c>
      <c r="C130" s="310" t="s">
        <v>381</v>
      </c>
      <c r="D130" s="310" t="s">
        <v>87</v>
      </c>
      <c r="E130" s="310">
        <v>4.0000000000000001E-3</v>
      </c>
      <c r="F130" s="310">
        <v>361.06</v>
      </c>
      <c r="G130" s="295">
        <f t="shared" si="6"/>
        <v>1.44424</v>
      </c>
    </row>
    <row r="131" spans="2:9" ht="114" x14ac:dyDescent="0.25">
      <c r="B131" s="287" t="s">
        <v>389</v>
      </c>
      <c r="C131" s="310" t="s">
        <v>379</v>
      </c>
      <c r="D131" s="310" t="s">
        <v>176</v>
      </c>
      <c r="E131" s="310">
        <v>2</v>
      </c>
      <c r="F131" s="310">
        <v>12.51</v>
      </c>
      <c r="G131" s="295">
        <f t="shared" si="6"/>
        <v>25.02</v>
      </c>
    </row>
    <row r="132" spans="2:9" ht="28.5" x14ac:dyDescent="0.25">
      <c r="B132" s="287" t="s">
        <v>390</v>
      </c>
      <c r="C132" s="310" t="s">
        <v>377</v>
      </c>
      <c r="D132" s="310" t="s">
        <v>86</v>
      </c>
      <c r="E132" s="310">
        <v>4.0949999999999998</v>
      </c>
      <c r="F132" s="310">
        <v>308.77999999999997</v>
      </c>
      <c r="G132" s="295">
        <f t="shared" si="6"/>
        <v>1264.4540999999997</v>
      </c>
    </row>
    <row r="133" spans="2:9" ht="85.5" x14ac:dyDescent="0.25">
      <c r="B133" s="287" t="s">
        <v>391</v>
      </c>
      <c r="C133" s="310" t="s">
        <v>382</v>
      </c>
      <c r="D133" s="310" t="s">
        <v>157</v>
      </c>
      <c r="E133" s="310">
        <v>1</v>
      </c>
      <c r="F133" s="310">
        <v>42.74</v>
      </c>
      <c r="G133" s="295">
        <f t="shared" si="6"/>
        <v>42.74</v>
      </c>
    </row>
    <row r="134" spans="2:9" ht="28.5" x14ac:dyDescent="0.25">
      <c r="B134" s="287" t="s">
        <v>394</v>
      </c>
      <c r="C134" s="310" t="s">
        <v>378</v>
      </c>
      <c r="D134" s="310" t="s">
        <v>176</v>
      </c>
      <c r="E134" s="310">
        <v>1</v>
      </c>
      <c r="F134" s="310">
        <v>1026.1099999999999</v>
      </c>
      <c r="G134" s="295">
        <f t="shared" si="6"/>
        <v>1026.1099999999999</v>
      </c>
      <c r="I134" s="290"/>
    </row>
    <row r="135" spans="2:9" x14ac:dyDescent="0.25">
      <c r="B135" s="35"/>
      <c r="C135" s="35"/>
      <c r="D135" s="388" t="s">
        <v>54</v>
      </c>
      <c r="E135" s="388"/>
      <c r="F135" s="34"/>
      <c r="G135" s="288">
        <v>0</v>
      </c>
      <c r="I135" s="290"/>
    </row>
    <row r="136" spans="2:9" x14ac:dyDescent="0.25">
      <c r="B136" s="35"/>
      <c r="C136" s="35"/>
      <c r="D136" s="389" t="s">
        <v>55</v>
      </c>
      <c r="E136" s="389"/>
      <c r="F136" s="34"/>
      <c r="G136" s="288">
        <v>0</v>
      </c>
      <c r="I136" s="290"/>
    </row>
    <row r="137" spans="2:9" x14ac:dyDescent="0.25">
      <c r="B137" s="35"/>
      <c r="C137" s="35"/>
      <c r="D137" s="389" t="s">
        <v>56</v>
      </c>
      <c r="E137" s="389"/>
      <c r="F137" s="34"/>
      <c r="G137" s="288">
        <f>SUM(G131:G134)+(0.004*344.03)</f>
        <v>2359.7002199999997</v>
      </c>
      <c r="I137" s="284"/>
    </row>
    <row r="138" spans="2:9" x14ac:dyDescent="0.25">
      <c r="B138" s="35"/>
      <c r="C138" s="35"/>
      <c r="D138" s="389" t="s">
        <v>57</v>
      </c>
      <c r="E138" s="389"/>
      <c r="F138" s="34"/>
      <c r="G138" s="288">
        <f>SUM(G127:G129)+(0.004*30.65)</f>
        <v>55.6706</v>
      </c>
      <c r="I138" s="284"/>
    </row>
    <row r="139" spans="2:9" ht="15.75" x14ac:dyDescent="0.25">
      <c r="B139" s="39"/>
      <c r="C139" s="27"/>
      <c r="D139" s="390" t="s">
        <v>58</v>
      </c>
      <c r="E139" s="391"/>
      <c r="F139" s="40"/>
      <c r="G139" s="41">
        <f>G137+G138</f>
        <v>2415.3708199999996</v>
      </c>
      <c r="I139" s="284"/>
    </row>
    <row r="140" spans="2:9" x14ac:dyDescent="0.25">
      <c r="B140" s="117"/>
      <c r="C140" s="117"/>
      <c r="D140" s="392" t="s">
        <v>59</v>
      </c>
      <c r="E140" s="392"/>
      <c r="F140" s="143"/>
      <c r="G140" s="309">
        <f>ROUND(G139*1.2637,2)</f>
        <v>3052.3</v>
      </c>
      <c r="I140" s="284"/>
    </row>
    <row r="141" spans="2:9" x14ac:dyDescent="0.25">
      <c r="I141" s="284"/>
    </row>
    <row r="142" spans="2:9" ht="75" x14ac:dyDescent="0.25">
      <c r="B142" s="37" t="s">
        <v>484</v>
      </c>
      <c r="C142" s="37" t="s">
        <v>479</v>
      </c>
      <c r="D142" s="37" t="s">
        <v>50</v>
      </c>
      <c r="E142" s="34" t="s">
        <v>9</v>
      </c>
      <c r="F142" s="34"/>
      <c r="G142" s="34"/>
      <c r="I142" s="284"/>
    </row>
    <row r="143" spans="2:9" ht="28.5" x14ac:dyDescent="0.25">
      <c r="B143" s="287" t="s">
        <v>326</v>
      </c>
      <c r="C143" s="310" t="s">
        <v>179</v>
      </c>
      <c r="D143" s="298" t="s">
        <v>52</v>
      </c>
      <c r="E143" s="310">
        <v>2.7</v>
      </c>
      <c r="F143" s="310">
        <v>18.11</v>
      </c>
      <c r="G143" s="295">
        <f t="shared" ref="G143:G150" si="7">E143*F143</f>
        <v>48.896999999999998</v>
      </c>
      <c r="I143" s="284"/>
    </row>
    <row r="144" spans="2:9" ht="28.5" x14ac:dyDescent="0.25">
      <c r="B144" s="287" t="s">
        <v>327</v>
      </c>
      <c r="C144" s="310" t="s">
        <v>153</v>
      </c>
      <c r="D144" s="298" t="s">
        <v>52</v>
      </c>
      <c r="E144" s="310">
        <v>1.75</v>
      </c>
      <c r="F144" s="310">
        <v>14.68</v>
      </c>
      <c r="G144" s="295">
        <f t="shared" si="7"/>
        <v>25.689999999999998</v>
      </c>
      <c r="I144" s="284"/>
    </row>
    <row r="145" spans="2:9" ht="28.5" x14ac:dyDescent="0.25">
      <c r="B145" s="287" t="s">
        <v>388</v>
      </c>
      <c r="C145" s="310" t="s">
        <v>380</v>
      </c>
      <c r="D145" s="298" t="s">
        <v>52</v>
      </c>
      <c r="E145" s="310">
        <v>0.92</v>
      </c>
      <c r="F145" s="310">
        <v>14.85</v>
      </c>
      <c r="G145" s="295">
        <f t="shared" si="7"/>
        <v>13.662000000000001</v>
      </c>
      <c r="I145" s="290"/>
    </row>
    <row r="146" spans="2:9" ht="71.25" x14ac:dyDescent="0.25">
      <c r="B146" s="287" t="s">
        <v>387</v>
      </c>
      <c r="C146" s="310" t="s">
        <v>381</v>
      </c>
      <c r="D146" s="310" t="s">
        <v>87</v>
      </c>
      <c r="E146" s="310">
        <v>6.0000000000000001E-3</v>
      </c>
      <c r="F146" s="310">
        <v>361.06</v>
      </c>
      <c r="G146" s="295">
        <f t="shared" si="7"/>
        <v>2.1663600000000001</v>
      </c>
      <c r="I146" s="290"/>
    </row>
    <row r="147" spans="2:9" ht="114" x14ac:dyDescent="0.25">
      <c r="B147" s="287" t="s">
        <v>389</v>
      </c>
      <c r="C147" s="310" t="s">
        <v>379</v>
      </c>
      <c r="D147" s="310" t="s">
        <v>176</v>
      </c>
      <c r="E147" s="310">
        <v>2</v>
      </c>
      <c r="F147" s="310">
        <v>12.51</v>
      </c>
      <c r="G147" s="295">
        <f t="shared" si="7"/>
        <v>25.02</v>
      </c>
      <c r="I147" s="284"/>
    </row>
    <row r="148" spans="2:9" ht="28.5" x14ac:dyDescent="0.25">
      <c r="B148" s="287" t="s">
        <v>390</v>
      </c>
      <c r="C148" s="310" t="s">
        <v>377</v>
      </c>
      <c r="D148" s="310" t="s">
        <v>86</v>
      </c>
      <c r="E148" s="310">
        <v>4.0949999999999998</v>
      </c>
      <c r="F148" s="310">
        <v>308.77999999999997</v>
      </c>
      <c r="G148" s="295">
        <f t="shared" si="7"/>
        <v>1264.4540999999997</v>
      </c>
      <c r="I148" s="284"/>
    </row>
    <row r="149" spans="2:9" ht="85.5" x14ac:dyDescent="0.25">
      <c r="B149" s="287" t="s">
        <v>391</v>
      </c>
      <c r="C149" s="310" t="s">
        <v>382</v>
      </c>
      <c r="D149" s="310" t="s">
        <v>157</v>
      </c>
      <c r="E149" s="310">
        <v>1</v>
      </c>
      <c r="F149" s="310">
        <v>42.74</v>
      </c>
      <c r="G149" s="295">
        <f t="shared" si="7"/>
        <v>42.74</v>
      </c>
      <c r="I149" s="284"/>
    </row>
    <row r="150" spans="2:9" ht="28.5" x14ac:dyDescent="0.25">
      <c r="B150" s="287" t="s">
        <v>394</v>
      </c>
      <c r="C150" s="310" t="s">
        <v>378</v>
      </c>
      <c r="D150" s="310" t="s">
        <v>176</v>
      </c>
      <c r="E150" s="310">
        <v>1</v>
      </c>
      <c r="F150" s="310">
        <v>1026.1099999999999</v>
      </c>
      <c r="G150" s="295">
        <f t="shared" si="7"/>
        <v>1026.1099999999999</v>
      </c>
      <c r="I150" s="284"/>
    </row>
    <row r="151" spans="2:9" x14ac:dyDescent="0.25">
      <c r="B151" s="35"/>
      <c r="C151" s="35"/>
      <c r="D151" s="388" t="s">
        <v>54</v>
      </c>
      <c r="E151" s="388"/>
      <c r="F151" s="34"/>
      <c r="G151" s="288">
        <v>0</v>
      </c>
      <c r="I151" s="284"/>
    </row>
    <row r="152" spans="2:9" x14ac:dyDescent="0.25">
      <c r="B152" s="35"/>
      <c r="C152" s="35"/>
      <c r="D152" s="389" t="s">
        <v>55</v>
      </c>
      <c r="E152" s="389"/>
      <c r="F152" s="34"/>
      <c r="G152" s="288">
        <v>0</v>
      </c>
      <c r="I152" s="284"/>
    </row>
    <row r="153" spans="2:9" x14ac:dyDescent="0.25">
      <c r="B153" s="35"/>
      <c r="C153" s="35"/>
      <c r="D153" s="389" t="s">
        <v>56</v>
      </c>
      <c r="E153" s="389"/>
      <c r="F153" s="34"/>
      <c r="G153" s="288">
        <f>SUM(G147:G150)+(0.004*344.03)</f>
        <v>2359.7002199999997</v>
      </c>
      <c r="I153" s="284"/>
    </row>
    <row r="154" spans="2:9" x14ac:dyDescent="0.25">
      <c r="B154" s="35"/>
      <c r="C154" s="35"/>
      <c r="D154" s="389" t="s">
        <v>57</v>
      </c>
      <c r="E154" s="389"/>
      <c r="F154" s="34"/>
      <c r="G154" s="288">
        <f>SUM(G143:G145)+(0.004*30.65)</f>
        <v>88.371600000000001</v>
      </c>
      <c r="I154" s="284"/>
    </row>
    <row r="155" spans="2:9" ht="15.75" x14ac:dyDescent="0.25">
      <c r="B155" s="39"/>
      <c r="C155" s="27"/>
      <c r="D155" s="390" t="s">
        <v>58</v>
      </c>
      <c r="E155" s="391"/>
      <c r="F155" s="40"/>
      <c r="G155" s="41">
        <f>G153+G154</f>
        <v>2448.0718199999997</v>
      </c>
      <c r="I155" s="290"/>
    </row>
    <row r="156" spans="2:9" x14ac:dyDescent="0.25">
      <c r="B156" s="117"/>
      <c r="C156" s="117"/>
      <c r="D156" s="392" t="s">
        <v>59</v>
      </c>
      <c r="E156" s="392"/>
      <c r="F156" s="143"/>
      <c r="G156" s="309">
        <f>ROUND(G155*1.2637,2)</f>
        <v>3093.63</v>
      </c>
      <c r="I156" s="290"/>
    </row>
    <row r="157" spans="2:9" x14ac:dyDescent="0.25">
      <c r="I157" s="290"/>
    </row>
    <row r="158" spans="2:9" ht="60" x14ac:dyDescent="0.25">
      <c r="B158" s="37" t="s">
        <v>320</v>
      </c>
      <c r="C158" s="37" t="s">
        <v>485</v>
      </c>
      <c r="D158" s="37" t="s">
        <v>50</v>
      </c>
      <c r="E158" s="34" t="s">
        <v>9</v>
      </c>
      <c r="F158" s="34"/>
      <c r="G158" s="34"/>
      <c r="I158" s="284"/>
    </row>
    <row r="159" spans="2:9" ht="28.5" x14ac:dyDescent="0.25">
      <c r="B159" s="287" t="s">
        <v>326</v>
      </c>
      <c r="C159" s="310" t="s">
        <v>179</v>
      </c>
      <c r="D159" s="298" t="s">
        <v>52</v>
      </c>
      <c r="E159" s="310">
        <v>2.25</v>
      </c>
      <c r="F159" s="310">
        <v>18.11</v>
      </c>
      <c r="G159" s="295">
        <f t="shared" ref="G159:G168" si="8">E159*F159</f>
        <v>40.747500000000002</v>
      </c>
      <c r="I159" s="284"/>
    </row>
    <row r="160" spans="2:9" ht="28.5" x14ac:dyDescent="0.25">
      <c r="B160" s="287" t="s">
        <v>327</v>
      </c>
      <c r="C160" s="310" t="s">
        <v>153</v>
      </c>
      <c r="D160" s="298" t="s">
        <v>52</v>
      </c>
      <c r="E160" s="310">
        <v>1.5</v>
      </c>
      <c r="F160" s="310">
        <v>14.68</v>
      </c>
      <c r="G160" s="295">
        <f t="shared" si="8"/>
        <v>22.02</v>
      </c>
      <c r="I160" s="284"/>
    </row>
    <row r="161" spans="2:9" ht="28.5" x14ac:dyDescent="0.25">
      <c r="B161" s="287" t="s">
        <v>388</v>
      </c>
      <c r="C161" s="310" t="s">
        <v>380</v>
      </c>
      <c r="D161" s="298" t="s">
        <v>52</v>
      </c>
      <c r="E161" s="310">
        <v>0.68</v>
      </c>
      <c r="F161" s="310">
        <v>14.85</v>
      </c>
      <c r="G161" s="295">
        <f t="shared" si="8"/>
        <v>10.098000000000001</v>
      </c>
      <c r="I161" s="284"/>
    </row>
    <row r="162" spans="2:9" ht="71.25" x14ac:dyDescent="0.25">
      <c r="B162" s="287" t="s">
        <v>387</v>
      </c>
      <c r="C162" s="310" t="s">
        <v>381</v>
      </c>
      <c r="D162" s="310" t="s">
        <v>87</v>
      </c>
      <c r="E162" s="310">
        <v>6.0000000000000001E-3</v>
      </c>
      <c r="F162" s="310">
        <v>361.06</v>
      </c>
      <c r="G162" s="295">
        <f t="shared" si="8"/>
        <v>2.1663600000000001</v>
      </c>
      <c r="I162" s="284"/>
    </row>
    <row r="163" spans="2:9" ht="114" x14ac:dyDescent="0.25">
      <c r="B163" s="287" t="s">
        <v>389</v>
      </c>
      <c r="C163" s="310" t="s">
        <v>379</v>
      </c>
      <c r="D163" s="310" t="s">
        <v>176</v>
      </c>
      <c r="E163" s="310">
        <v>1</v>
      </c>
      <c r="F163" s="310">
        <v>12.51</v>
      </c>
      <c r="G163" s="295">
        <f t="shared" si="8"/>
        <v>12.51</v>
      </c>
      <c r="I163" s="284"/>
    </row>
    <row r="164" spans="2:9" ht="28.5" x14ac:dyDescent="0.25">
      <c r="B164" s="287" t="s">
        <v>390</v>
      </c>
      <c r="C164" s="310" t="s">
        <v>377</v>
      </c>
      <c r="D164" s="310" t="s">
        <v>86</v>
      </c>
      <c r="E164" s="310">
        <v>4.0949999999999998</v>
      </c>
      <c r="F164" s="310">
        <v>308.77999999999997</v>
      </c>
      <c r="G164" s="295">
        <f t="shared" si="8"/>
        <v>1264.4540999999997</v>
      </c>
      <c r="I164" s="284"/>
    </row>
    <row r="165" spans="2:9" ht="85.5" x14ac:dyDescent="0.25">
      <c r="B165" s="287" t="s">
        <v>391</v>
      </c>
      <c r="C165" s="310" t="s">
        <v>382</v>
      </c>
      <c r="D165" s="310" t="s">
        <v>157</v>
      </c>
      <c r="E165" s="310">
        <v>1</v>
      </c>
      <c r="F165" s="310">
        <v>42.74</v>
      </c>
      <c r="G165" s="295">
        <f t="shared" si="8"/>
        <v>42.74</v>
      </c>
      <c r="I165" s="284"/>
    </row>
    <row r="166" spans="2:9" ht="85.5" x14ac:dyDescent="0.25">
      <c r="B166" s="287" t="s">
        <v>392</v>
      </c>
      <c r="C166" s="310" t="s">
        <v>383</v>
      </c>
      <c r="D166" s="310" t="s">
        <v>384</v>
      </c>
      <c r="E166" s="310">
        <v>2</v>
      </c>
      <c r="F166" s="310">
        <v>26.52</v>
      </c>
      <c r="G166" s="295">
        <f t="shared" si="8"/>
        <v>53.04</v>
      </c>
      <c r="I166" s="290"/>
    </row>
    <row r="167" spans="2:9" ht="57" x14ac:dyDescent="0.25">
      <c r="B167" s="287" t="s">
        <v>393</v>
      </c>
      <c r="C167" s="310" t="s">
        <v>385</v>
      </c>
      <c r="D167" s="310" t="s">
        <v>88</v>
      </c>
      <c r="E167" s="310">
        <v>1.4</v>
      </c>
      <c r="F167" s="310">
        <v>23.4</v>
      </c>
      <c r="G167" s="295">
        <f t="shared" si="8"/>
        <v>32.76</v>
      </c>
      <c r="I167" s="290"/>
    </row>
    <row r="168" spans="2:9" ht="28.5" x14ac:dyDescent="0.25">
      <c r="B168" s="287" t="s">
        <v>394</v>
      </c>
      <c r="C168" s="310" t="s">
        <v>378</v>
      </c>
      <c r="D168" s="310" t="s">
        <v>176</v>
      </c>
      <c r="E168" s="310">
        <v>1</v>
      </c>
      <c r="F168" s="310">
        <v>1026.1099999999999</v>
      </c>
      <c r="G168" s="295">
        <f t="shared" si="8"/>
        <v>1026.1099999999999</v>
      </c>
      <c r="I168" s="290"/>
    </row>
    <row r="169" spans="2:9" x14ac:dyDescent="0.25">
      <c r="B169" s="35"/>
      <c r="C169" s="35"/>
      <c r="D169" s="388" t="s">
        <v>54</v>
      </c>
      <c r="E169" s="388"/>
      <c r="F169" s="34"/>
      <c r="G169" s="288">
        <v>0</v>
      </c>
      <c r="I169" s="290"/>
    </row>
    <row r="170" spans="2:9" x14ac:dyDescent="0.25">
      <c r="B170" s="35"/>
      <c r="C170" s="35"/>
      <c r="D170" s="389" t="s">
        <v>55</v>
      </c>
      <c r="E170" s="389"/>
      <c r="F170" s="34"/>
      <c r="G170" s="288">
        <v>0</v>
      </c>
      <c r="I170" s="290"/>
    </row>
    <row r="171" spans="2:9" x14ac:dyDescent="0.25">
      <c r="B171" s="35"/>
      <c r="C171" s="35"/>
      <c r="D171" s="389" t="s">
        <v>56</v>
      </c>
      <c r="E171" s="389"/>
      <c r="F171" s="34"/>
      <c r="G171" s="288">
        <f>SUM(G163:G168)+(0.004*344.03)</f>
        <v>2432.9902199999997</v>
      </c>
      <c r="I171" s="290"/>
    </row>
    <row r="172" spans="2:9" x14ac:dyDescent="0.25">
      <c r="B172" s="35"/>
      <c r="C172" s="35"/>
      <c r="D172" s="389" t="s">
        <v>57</v>
      </c>
      <c r="E172" s="389"/>
      <c r="F172" s="34"/>
      <c r="G172" s="288">
        <f>SUM(G159:G161)+(0.004*30.65)</f>
        <v>72.988100000000003</v>
      </c>
      <c r="I172" s="290"/>
    </row>
    <row r="173" spans="2:9" ht="15.75" x14ac:dyDescent="0.25">
      <c r="B173" s="39"/>
      <c r="C173" s="27"/>
      <c r="D173" s="390" t="s">
        <v>58</v>
      </c>
      <c r="E173" s="391"/>
      <c r="F173" s="40"/>
      <c r="G173" s="41">
        <f>G171+G172</f>
        <v>2505.9783199999997</v>
      </c>
      <c r="I173" s="290"/>
    </row>
    <row r="174" spans="2:9" x14ac:dyDescent="0.25">
      <c r="B174" s="117"/>
      <c r="C174" s="117"/>
      <c r="D174" s="392" t="s">
        <v>59</v>
      </c>
      <c r="E174" s="392"/>
      <c r="F174" s="143"/>
      <c r="G174" s="309">
        <f>ROUND(G173*1.2637,2)</f>
        <v>3166.8</v>
      </c>
      <c r="I174" s="290"/>
    </row>
    <row r="175" spans="2:9" x14ac:dyDescent="0.25">
      <c r="I175" s="290"/>
    </row>
    <row r="176" spans="2:9" ht="105" x14ac:dyDescent="0.25">
      <c r="B176" s="37" t="s">
        <v>362</v>
      </c>
      <c r="C176" s="37" t="s">
        <v>486</v>
      </c>
      <c r="D176" s="37" t="s">
        <v>50</v>
      </c>
      <c r="E176" s="34" t="s">
        <v>9</v>
      </c>
      <c r="F176" s="34"/>
      <c r="G176" s="34"/>
      <c r="I176" s="290"/>
    </row>
    <row r="177" spans="2:9" ht="28.5" x14ac:dyDescent="0.25">
      <c r="B177" s="287" t="s">
        <v>326</v>
      </c>
      <c r="C177" s="310" t="s">
        <v>179</v>
      </c>
      <c r="D177" s="298" t="s">
        <v>52</v>
      </c>
      <c r="E177" s="310">
        <v>2.7</v>
      </c>
      <c r="F177" s="310">
        <v>18.11</v>
      </c>
      <c r="G177" s="295">
        <f t="shared" ref="G177:G184" si="9">E177*F177</f>
        <v>48.896999999999998</v>
      </c>
      <c r="I177" s="290"/>
    </row>
    <row r="178" spans="2:9" ht="28.5" x14ac:dyDescent="0.25">
      <c r="B178" s="287" t="s">
        <v>327</v>
      </c>
      <c r="C178" s="310" t="s">
        <v>153</v>
      </c>
      <c r="D178" s="298" t="s">
        <v>52</v>
      </c>
      <c r="E178" s="310">
        <v>1.75</v>
      </c>
      <c r="F178" s="310">
        <v>14.68</v>
      </c>
      <c r="G178" s="295">
        <f t="shared" si="9"/>
        <v>25.689999999999998</v>
      </c>
      <c r="I178" s="290"/>
    </row>
    <row r="179" spans="2:9" s="244" customFormat="1" ht="28.5" x14ac:dyDescent="0.25">
      <c r="B179" s="287" t="s">
        <v>388</v>
      </c>
      <c r="C179" s="310" t="s">
        <v>380</v>
      </c>
      <c r="D179" s="298" t="s">
        <v>52</v>
      </c>
      <c r="E179" s="310">
        <v>0.92</v>
      </c>
      <c r="F179" s="310">
        <v>14.85</v>
      </c>
      <c r="G179" s="295">
        <f t="shared" si="9"/>
        <v>13.662000000000001</v>
      </c>
      <c r="I179" s="290"/>
    </row>
    <row r="180" spans="2:9" s="244" customFormat="1" ht="71.25" x14ac:dyDescent="0.25">
      <c r="B180" s="287" t="s">
        <v>387</v>
      </c>
      <c r="C180" s="310" t="s">
        <v>381</v>
      </c>
      <c r="D180" s="310" t="s">
        <v>87</v>
      </c>
      <c r="E180" s="310">
        <v>6.0000000000000001E-3</v>
      </c>
      <c r="F180" s="310">
        <v>361.06</v>
      </c>
      <c r="G180" s="295">
        <f t="shared" si="9"/>
        <v>2.1663600000000001</v>
      </c>
      <c r="I180" s="290"/>
    </row>
    <row r="181" spans="2:9" ht="114" x14ac:dyDescent="0.25">
      <c r="B181" s="287" t="s">
        <v>389</v>
      </c>
      <c r="C181" s="310" t="s">
        <v>379</v>
      </c>
      <c r="D181" s="310" t="s">
        <v>176</v>
      </c>
      <c r="E181" s="310">
        <v>2</v>
      </c>
      <c r="F181" s="310">
        <v>12.51</v>
      </c>
      <c r="G181" s="295">
        <f t="shared" si="9"/>
        <v>25.02</v>
      </c>
      <c r="I181" s="284"/>
    </row>
    <row r="182" spans="2:9" ht="28.5" x14ac:dyDescent="0.25">
      <c r="B182" s="287" t="s">
        <v>390</v>
      </c>
      <c r="C182" s="310" t="s">
        <v>377</v>
      </c>
      <c r="D182" s="310" t="s">
        <v>86</v>
      </c>
      <c r="E182" s="310">
        <v>4.0949999999999998</v>
      </c>
      <c r="F182" s="310">
        <v>308.77999999999997</v>
      </c>
      <c r="G182" s="295">
        <f t="shared" si="9"/>
        <v>1264.4540999999997</v>
      </c>
      <c r="I182" s="284"/>
    </row>
    <row r="183" spans="2:9" ht="85.5" x14ac:dyDescent="0.25">
      <c r="B183" s="287" t="s">
        <v>391</v>
      </c>
      <c r="C183" s="310" t="s">
        <v>382</v>
      </c>
      <c r="D183" s="310" t="s">
        <v>157</v>
      </c>
      <c r="E183" s="310">
        <v>1</v>
      </c>
      <c r="F183" s="310">
        <v>42.74</v>
      </c>
      <c r="G183" s="295">
        <f t="shared" si="9"/>
        <v>42.74</v>
      </c>
      <c r="I183" s="284"/>
    </row>
    <row r="184" spans="2:9" ht="28.5" x14ac:dyDescent="0.25">
      <c r="B184" s="287" t="s">
        <v>394</v>
      </c>
      <c r="C184" s="310" t="s">
        <v>378</v>
      </c>
      <c r="D184" s="310" t="s">
        <v>176</v>
      </c>
      <c r="E184" s="310">
        <v>1</v>
      </c>
      <c r="F184" s="310">
        <v>1026.1099999999999</v>
      </c>
      <c r="G184" s="295">
        <f t="shared" si="9"/>
        <v>1026.1099999999999</v>
      </c>
      <c r="H184" s="87"/>
      <c r="I184" s="284"/>
    </row>
    <row r="185" spans="2:9" x14ac:dyDescent="0.25">
      <c r="B185" s="35"/>
      <c r="C185" s="35"/>
      <c r="D185" s="388" t="s">
        <v>54</v>
      </c>
      <c r="E185" s="388"/>
      <c r="F185" s="34"/>
      <c r="G185" s="288">
        <v>0</v>
      </c>
      <c r="I185" s="284"/>
    </row>
    <row r="186" spans="2:9" x14ac:dyDescent="0.25">
      <c r="B186" s="35"/>
      <c r="C186" s="35"/>
      <c r="D186" s="389" t="s">
        <v>55</v>
      </c>
      <c r="E186" s="389"/>
      <c r="F186" s="34"/>
      <c r="G186" s="288">
        <v>0</v>
      </c>
      <c r="I186" s="284"/>
    </row>
    <row r="187" spans="2:9" x14ac:dyDescent="0.25">
      <c r="B187" s="35"/>
      <c r="C187" s="35"/>
      <c r="D187" s="389" t="s">
        <v>56</v>
      </c>
      <c r="E187" s="389"/>
      <c r="F187" s="34"/>
      <c r="G187" s="288">
        <f>SUM(G181:G184)+(0.004*344.03)</f>
        <v>2359.7002199999997</v>
      </c>
      <c r="I187" s="284"/>
    </row>
    <row r="188" spans="2:9" x14ac:dyDescent="0.25">
      <c r="B188" s="35"/>
      <c r="C188" s="35"/>
      <c r="D188" s="389" t="s">
        <v>57</v>
      </c>
      <c r="E188" s="389"/>
      <c r="F188" s="34"/>
      <c r="G188" s="288">
        <f>SUM(G177:G179)+(0.004*30.65)</f>
        <v>88.371600000000001</v>
      </c>
      <c r="I188" s="284"/>
    </row>
    <row r="189" spans="2:9" ht="15.75" x14ac:dyDescent="0.25">
      <c r="B189" s="39"/>
      <c r="C189" s="27"/>
      <c r="D189" s="390" t="s">
        <v>58</v>
      </c>
      <c r="E189" s="391"/>
      <c r="F189" s="40"/>
      <c r="G189" s="41">
        <f>G187+G188</f>
        <v>2448.0718199999997</v>
      </c>
      <c r="I189" s="290"/>
    </row>
    <row r="190" spans="2:9" x14ac:dyDescent="0.25">
      <c r="B190" s="117"/>
      <c r="C190" s="117"/>
      <c r="D190" s="392" t="s">
        <v>59</v>
      </c>
      <c r="E190" s="392"/>
      <c r="F190" s="143"/>
      <c r="G190" s="309">
        <f>ROUND(G189*1.2637,2)</f>
        <v>3093.63</v>
      </c>
      <c r="I190" s="290"/>
    </row>
    <row r="191" spans="2:9" x14ac:dyDescent="0.25">
      <c r="I191" s="290"/>
    </row>
    <row r="192" spans="2:9" ht="60" x14ac:dyDescent="0.25">
      <c r="B192" s="37" t="s">
        <v>376</v>
      </c>
      <c r="C192" s="37" t="s">
        <v>363</v>
      </c>
      <c r="D192" s="37" t="s">
        <v>50</v>
      </c>
      <c r="E192" s="34" t="s">
        <v>9</v>
      </c>
      <c r="F192" s="34"/>
      <c r="G192" s="34"/>
      <c r="I192" s="290"/>
    </row>
    <row r="193" spans="2:9" ht="57" x14ac:dyDescent="0.25">
      <c r="B193" s="287" t="s">
        <v>357</v>
      </c>
      <c r="C193" s="257" t="s">
        <v>356</v>
      </c>
      <c r="D193" s="257" t="s">
        <v>50</v>
      </c>
      <c r="E193" s="257">
        <v>1</v>
      </c>
      <c r="F193" s="257">
        <v>23.97</v>
      </c>
      <c r="G193" s="34">
        <f>E193*F193</f>
        <v>23.97</v>
      </c>
      <c r="I193" s="284"/>
    </row>
    <row r="194" spans="2:9" ht="28.5" x14ac:dyDescent="0.25">
      <c r="B194" s="287" t="s">
        <v>89</v>
      </c>
      <c r="C194" s="257" t="s">
        <v>51</v>
      </c>
      <c r="D194" s="257" t="s">
        <v>52</v>
      </c>
      <c r="E194" s="257">
        <v>3.5</v>
      </c>
      <c r="F194" s="257">
        <v>18.32</v>
      </c>
      <c r="G194" s="34">
        <f>E194*F194</f>
        <v>64.12</v>
      </c>
      <c r="I194" s="284"/>
    </row>
    <row r="195" spans="2:9" ht="28.5" x14ac:dyDescent="0.25">
      <c r="B195" s="287" t="s">
        <v>359</v>
      </c>
      <c r="C195" s="257" t="s">
        <v>358</v>
      </c>
      <c r="D195" s="257" t="s">
        <v>88</v>
      </c>
      <c r="E195" s="257">
        <v>6</v>
      </c>
      <c r="F195" s="34">
        <v>2.75</v>
      </c>
      <c r="G195" s="34">
        <f>E195*F195</f>
        <v>16.5</v>
      </c>
      <c r="I195" s="284"/>
    </row>
    <row r="196" spans="2:9" ht="28.5" x14ac:dyDescent="0.25">
      <c r="B196" s="287" t="s">
        <v>327</v>
      </c>
      <c r="C196" s="257" t="s">
        <v>153</v>
      </c>
      <c r="D196" s="257" t="s">
        <v>52</v>
      </c>
      <c r="E196" s="257">
        <v>3.5</v>
      </c>
      <c r="F196" s="257">
        <v>14.68</v>
      </c>
      <c r="G196" s="34">
        <f>E196*F196</f>
        <v>51.379999999999995</v>
      </c>
      <c r="I196" s="284"/>
    </row>
    <row r="197" spans="2:9" ht="42.75" x14ac:dyDescent="0.25">
      <c r="B197" s="287" t="s">
        <v>361</v>
      </c>
      <c r="C197" s="257" t="s">
        <v>360</v>
      </c>
      <c r="D197" s="257" t="s">
        <v>50</v>
      </c>
      <c r="E197" s="257">
        <v>1</v>
      </c>
      <c r="F197" s="257">
        <v>1.83</v>
      </c>
      <c r="G197" s="34">
        <f>E197*F197</f>
        <v>1.83</v>
      </c>
      <c r="I197" s="284"/>
    </row>
    <row r="198" spans="2:9" x14ac:dyDescent="0.25">
      <c r="B198" s="35"/>
      <c r="C198" s="35"/>
      <c r="D198" s="388" t="s">
        <v>54</v>
      </c>
      <c r="E198" s="388"/>
      <c r="F198" s="34"/>
      <c r="G198" s="288">
        <v>0</v>
      </c>
      <c r="I198" s="284"/>
    </row>
    <row r="199" spans="2:9" x14ac:dyDescent="0.25">
      <c r="B199" s="35"/>
      <c r="C199" s="35"/>
      <c r="D199" s="389" t="s">
        <v>55</v>
      </c>
      <c r="E199" s="389"/>
      <c r="F199" s="34"/>
      <c r="G199" s="288">
        <v>0</v>
      </c>
      <c r="I199" s="284"/>
    </row>
    <row r="200" spans="2:9" x14ac:dyDescent="0.25">
      <c r="B200" s="35"/>
      <c r="C200" s="35"/>
      <c r="D200" s="389" t="s">
        <v>56</v>
      </c>
      <c r="E200" s="389"/>
      <c r="F200" s="34"/>
      <c r="G200" s="288">
        <f>G197+G195+(18.17*E193)</f>
        <v>36.5</v>
      </c>
      <c r="I200" s="284"/>
    </row>
    <row r="201" spans="2:9" x14ac:dyDescent="0.25">
      <c r="B201" s="35"/>
      <c r="C201" s="35"/>
      <c r="D201" s="389" t="s">
        <v>57</v>
      </c>
      <c r="E201" s="389"/>
      <c r="F201" s="34"/>
      <c r="G201" s="288">
        <f>G196+G194+(5.8*E193)</f>
        <v>121.3</v>
      </c>
      <c r="I201" s="290"/>
    </row>
    <row r="202" spans="2:9" ht="15.75" x14ac:dyDescent="0.25">
      <c r="B202" s="39"/>
      <c r="C202" s="27"/>
      <c r="D202" s="390" t="s">
        <v>58</v>
      </c>
      <c r="E202" s="391"/>
      <c r="F202" s="40"/>
      <c r="G202" s="41">
        <f>SUM(G193:G197)</f>
        <v>157.80000000000001</v>
      </c>
      <c r="I202" s="290"/>
    </row>
    <row r="203" spans="2:9" x14ac:dyDescent="0.25">
      <c r="B203" s="117"/>
      <c r="C203" s="117"/>
      <c r="D203" s="392" t="s">
        <v>59</v>
      </c>
      <c r="E203" s="392"/>
      <c r="F203" s="143"/>
      <c r="G203" s="256">
        <f>ROUND(G202*1.2637,2)</f>
        <v>199.41</v>
      </c>
      <c r="I203" s="290"/>
    </row>
    <row r="204" spans="2:9" x14ac:dyDescent="0.25">
      <c r="I204" s="290"/>
    </row>
    <row r="205" spans="2:9" ht="75" x14ac:dyDescent="0.25">
      <c r="B205" s="37" t="s">
        <v>396</v>
      </c>
      <c r="C205" s="37" t="s">
        <v>293</v>
      </c>
      <c r="D205" s="38" t="s">
        <v>86</v>
      </c>
      <c r="E205" s="34" t="s">
        <v>9</v>
      </c>
      <c r="F205" s="34"/>
      <c r="G205" s="34"/>
      <c r="I205" s="290"/>
    </row>
    <row r="206" spans="2:9" ht="42.75" x14ac:dyDescent="0.25">
      <c r="B206" s="287" t="s">
        <v>344</v>
      </c>
      <c r="C206" s="259" t="s">
        <v>294</v>
      </c>
      <c r="D206" s="259" t="s">
        <v>52</v>
      </c>
      <c r="E206" s="259">
        <v>1.7</v>
      </c>
      <c r="F206" s="259">
        <v>17.579999999999998</v>
      </c>
      <c r="G206" s="34">
        <f>F206*E206</f>
        <v>29.885999999999996</v>
      </c>
      <c r="I206" s="284"/>
    </row>
    <row r="207" spans="2:9" ht="28.5" x14ac:dyDescent="0.25">
      <c r="B207" s="287" t="s">
        <v>372</v>
      </c>
      <c r="C207" s="259" t="s">
        <v>295</v>
      </c>
      <c r="D207" s="259" t="s">
        <v>52</v>
      </c>
      <c r="E207" s="295">
        <v>2</v>
      </c>
      <c r="F207" s="259">
        <v>24.4</v>
      </c>
      <c r="G207" s="34">
        <f>F207*E207</f>
        <v>48.8</v>
      </c>
      <c r="I207" s="284"/>
    </row>
    <row r="208" spans="2:9" x14ac:dyDescent="0.25">
      <c r="B208" s="287" t="s">
        <v>345</v>
      </c>
      <c r="C208" s="259" t="s">
        <v>296</v>
      </c>
      <c r="D208" s="259" t="s">
        <v>173</v>
      </c>
      <c r="E208" s="295">
        <v>15.125</v>
      </c>
      <c r="F208" s="259">
        <v>27.6</v>
      </c>
      <c r="G208" s="34">
        <f>F208*E208</f>
        <v>417.45000000000005</v>
      </c>
      <c r="I208" s="284"/>
    </row>
    <row r="209" spans="2:9" x14ac:dyDescent="0.25">
      <c r="B209" s="35"/>
      <c r="C209" s="35"/>
      <c r="D209" s="396" t="s">
        <v>54</v>
      </c>
      <c r="E209" s="397"/>
      <c r="F209" s="34"/>
      <c r="G209" s="288">
        <v>0</v>
      </c>
      <c r="I209" s="284"/>
    </row>
    <row r="210" spans="2:9" x14ac:dyDescent="0.25">
      <c r="B210" s="35"/>
      <c r="C210" s="35"/>
      <c r="D210" s="398" t="s">
        <v>55</v>
      </c>
      <c r="E210" s="399"/>
      <c r="F210" s="34"/>
      <c r="G210" s="288">
        <v>0</v>
      </c>
      <c r="I210" s="284"/>
    </row>
    <row r="211" spans="2:9" x14ac:dyDescent="0.25">
      <c r="B211" s="35"/>
      <c r="C211" s="35"/>
      <c r="D211" s="398" t="s">
        <v>56</v>
      </c>
      <c r="E211" s="399"/>
      <c r="F211" s="34"/>
      <c r="G211" s="288">
        <f>F208*E208</f>
        <v>417.45000000000005</v>
      </c>
      <c r="I211" s="284"/>
    </row>
    <row r="212" spans="2:9" x14ac:dyDescent="0.25">
      <c r="B212" s="35"/>
      <c r="C212" s="35"/>
      <c r="D212" s="398" t="s">
        <v>57</v>
      </c>
      <c r="E212" s="399"/>
      <c r="F212" s="34"/>
      <c r="G212" s="288">
        <f>(F206*E206)+(F207*E207)</f>
        <v>78.685999999999993</v>
      </c>
      <c r="I212" s="284"/>
    </row>
    <row r="213" spans="2:9" ht="15.75" x14ac:dyDescent="0.25">
      <c r="B213" s="39"/>
      <c r="C213" s="27"/>
      <c r="D213" s="394" t="s">
        <v>58</v>
      </c>
      <c r="E213" s="395"/>
      <c r="F213" s="40"/>
      <c r="G213" s="41">
        <f>SUM(G206:G208)</f>
        <v>496.13600000000002</v>
      </c>
      <c r="I213" s="284"/>
    </row>
    <row r="214" spans="2:9" x14ac:dyDescent="0.25">
      <c r="B214" s="117"/>
      <c r="C214" s="117"/>
      <c r="D214" s="413" t="s">
        <v>59</v>
      </c>
      <c r="E214" s="414"/>
      <c r="F214" s="143"/>
      <c r="G214" s="258">
        <f>ROUND(G213*1.2637,2)</f>
        <v>626.97</v>
      </c>
      <c r="I214" s="290"/>
    </row>
    <row r="215" spans="2:9" x14ac:dyDescent="0.25">
      <c r="B215" s="244"/>
      <c r="C215" s="244"/>
      <c r="D215" s="244"/>
      <c r="E215" s="244"/>
      <c r="F215" s="244"/>
      <c r="G215" s="244"/>
      <c r="I215" s="290"/>
    </row>
    <row r="216" spans="2:9" ht="45" x14ac:dyDescent="0.25">
      <c r="B216" s="37" t="s">
        <v>419</v>
      </c>
      <c r="C216" s="37" t="s">
        <v>297</v>
      </c>
      <c r="D216" s="38" t="s">
        <v>88</v>
      </c>
      <c r="E216" s="34" t="s">
        <v>9</v>
      </c>
      <c r="F216" s="34"/>
      <c r="G216" s="34"/>
      <c r="I216" s="290"/>
    </row>
    <row r="217" spans="2:9" ht="42.75" x14ac:dyDescent="0.25">
      <c r="B217" s="287" t="s">
        <v>342</v>
      </c>
      <c r="C217" s="259" t="s">
        <v>275</v>
      </c>
      <c r="D217" s="259" t="s">
        <v>52</v>
      </c>
      <c r="E217" s="259">
        <v>0.22004000000000001</v>
      </c>
      <c r="F217" s="259">
        <v>15.14</v>
      </c>
      <c r="G217" s="34">
        <f>F217*E217</f>
        <v>3.3314056000000005</v>
      </c>
      <c r="I217" s="290"/>
    </row>
    <row r="218" spans="2:9" ht="28.5" x14ac:dyDescent="0.25">
      <c r="B218" s="287" t="s">
        <v>346</v>
      </c>
      <c r="C218" s="259" t="s">
        <v>298</v>
      </c>
      <c r="D218" s="259" t="s">
        <v>52</v>
      </c>
      <c r="E218" s="259">
        <v>4.0000000000000001E-3</v>
      </c>
      <c r="F218" s="259">
        <v>18.010000000000002</v>
      </c>
      <c r="G218" s="34">
        <f>F218*E218</f>
        <v>7.2040000000000007E-2</v>
      </c>
      <c r="I218" s="290"/>
    </row>
    <row r="219" spans="2:9" ht="42.75" x14ac:dyDescent="0.25">
      <c r="B219" s="287" t="s">
        <v>322</v>
      </c>
      <c r="C219" s="259" t="s">
        <v>205</v>
      </c>
      <c r="D219" s="259" t="s">
        <v>52</v>
      </c>
      <c r="E219" s="259">
        <v>0.18</v>
      </c>
      <c r="F219" s="259">
        <v>17.97</v>
      </c>
      <c r="G219" s="34">
        <f t="shared" ref="G219:G231" si="10">F219*E219</f>
        <v>3.2345999999999995</v>
      </c>
      <c r="I219" s="284"/>
    </row>
    <row r="220" spans="2:9" ht="28.5" x14ac:dyDescent="0.25">
      <c r="B220" s="287" t="s">
        <v>326</v>
      </c>
      <c r="C220" s="259" t="s">
        <v>179</v>
      </c>
      <c r="D220" s="259" t="s">
        <v>52</v>
      </c>
      <c r="E220" s="259">
        <v>0.1</v>
      </c>
      <c r="F220" s="259">
        <v>18.11</v>
      </c>
      <c r="G220" s="34">
        <f t="shared" si="10"/>
        <v>1.8109999999999999</v>
      </c>
      <c r="I220" s="284"/>
    </row>
    <row r="221" spans="2:9" ht="28.5" x14ac:dyDescent="0.25">
      <c r="B221" s="287" t="s">
        <v>327</v>
      </c>
      <c r="C221" s="259" t="s">
        <v>153</v>
      </c>
      <c r="D221" s="259" t="s">
        <v>52</v>
      </c>
      <c r="E221" s="259">
        <v>0.36</v>
      </c>
      <c r="F221" s="259">
        <v>14.68</v>
      </c>
      <c r="G221" s="34">
        <f t="shared" si="10"/>
        <v>5.2847999999999997</v>
      </c>
    </row>
    <row r="222" spans="2:9" ht="28.5" x14ac:dyDescent="0.25">
      <c r="B222" s="287" t="s">
        <v>347</v>
      </c>
      <c r="C222" s="259" t="s">
        <v>299</v>
      </c>
      <c r="D222" s="259" t="s">
        <v>173</v>
      </c>
      <c r="E222" s="259">
        <v>0.62919999999999998</v>
      </c>
      <c r="F222" s="259">
        <v>4.55</v>
      </c>
      <c r="G222" s="34">
        <f t="shared" si="10"/>
        <v>2.86286</v>
      </c>
    </row>
    <row r="223" spans="2:9" ht="28.5" x14ac:dyDescent="0.25">
      <c r="B223" s="287" t="s">
        <v>339</v>
      </c>
      <c r="C223" s="259" t="s">
        <v>272</v>
      </c>
      <c r="D223" s="259" t="s">
        <v>173</v>
      </c>
      <c r="E223" s="259">
        <v>1.1440000000000001E-2</v>
      </c>
      <c r="F223" s="259">
        <v>9.5</v>
      </c>
      <c r="G223" s="34">
        <f t="shared" si="10"/>
        <v>0.10868</v>
      </c>
    </row>
    <row r="224" spans="2:9" ht="42.75" x14ac:dyDescent="0.25">
      <c r="B224" s="287" t="s">
        <v>328</v>
      </c>
      <c r="C224" s="259" t="s">
        <v>206</v>
      </c>
      <c r="D224" s="259" t="s">
        <v>87</v>
      </c>
      <c r="E224" s="259">
        <v>1.3140000000000001E-2</v>
      </c>
      <c r="F224" s="259">
        <v>77.5</v>
      </c>
      <c r="G224" s="34">
        <f t="shared" si="10"/>
        <v>1.0183500000000001</v>
      </c>
    </row>
    <row r="225" spans="2:16" ht="28.5" x14ac:dyDescent="0.25">
      <c r="B225" s="287" t="s">
        <v>329</v>
      </c>
      <c r="C225" s="259" t="s">
        <v>172</v>
      </c>
      <c r="D225" s="259" t="s">
        <v>173</v>
      </c>
      <c r="E225" s="259">
        <v>5.82</v>
      </c>
      <c r="F225" s="259">
        <v>0.4</v>
      </c>
      <c r="G225" s="34">
        <f t="shared" si="10"/>
        <v>2.3280000000000003</v>
      </c>
    </row>
    <row r="226" spans="2:16" ht="57" x14ac:dyDescent="0.25">
      <c r="B226" s="287" t="s">
        <v>348</v>
      </c>
      <c r="C226" s="259" t="s">
        <v>300</v>
      </c>
      <c r="D226" s="259" t="s">
        <v>301</v>
      </c>
      <c r="E226" s="259">
        <v>2.0400000000000001E-2</v>
      </c>
      <c r="F226" s="259">
        <v>7.49</v>
      </c>
      <c r="G226" s="34">
        <f t="shared" si="10"/>
        <v>0.15279600000000002</v>
      </c>
    </row>
    <row r="227" spans="2:16" ht="71.25" x14ac:dyDescent="0.25">
      <c r="B227" s="287" t="s">
        <v>349</v>
      </c>
      <c r="C227" s="259" t="s">
        <v>302</v>
      </c>
      <c r="D227" s="259" t="s">
        <v>88</v>
      </c>
      <c r="E227" s="259">
        <v>0.36</v>
      </c>
      <c r="F227" s="259">
        <v>2.41</v>
      </c>
      <c r="G227" s="34">
        <f t="shared" si="10"/>
        <v>0.86760000000000004</v>
      </c>
    </row>
    <row r="228" spans="2:16" ht="57" x14ac:dyDescent="0.25">
      <c r="B228" s="287" t="s">
        <v>350</v>
      </c>
      <c r="C228" s="259" t="s">
        <v>305</v>
      </c>
      <c r="D228" s="259" t="s">
        <v>88</v>
      </c>
      <c r="E228" s="259">
        <v>0.18360000000000001</v>
      </c>
      <c r="F228" s="259">
        <v>5.1100000000000003</v>
      </c>
      <c r="G228" s="34">
        <f t="shared" si="10"/>
        <v>0.93819600000000014</v>
      </c>
    </row>
    <row r="229" spans="2:16" ht="57" x14ac:dyDescent="0.25">
      <c r="B229" s="287" t="s">
        <v>351</v>
      </c>
      <c r="C229" s="259" t="s">
        <v>303</v>
      </c>
      <c r="D229" s="259" t="s">
        <v>87</v>
      </c>
      <c r="E229" s="259">
        <v>1.6400000000000001E-2</v>
      </c>
      <c r="F229" s="259">
        <v>59.13</v>
      </c>
      <c r="G229" s="34">
        <f t="shared" si="10"/>
        <v>0.96973200000000015</v>
      </c>
    </row>
    <row r="230" spans="2:16" ht="28.5" x14ac:dyDescent="0.25">
      <c r="B230" s="287" t="s">
        <v>352</v>
      </c>
      <c r="C230" s="259" t="s">
        <v>304</v>
      </c>
      <c r="D230" s="259" t="s">
        <v>173</v>
      </c>
      <c r="E230" s="259">
        <v>2.4E-2</v>
      </c>
      <c r="F230" s="259">
        <v>11.52</v>
      </c>
      <c r="G230" s="34">
        <f t="shared" si="10"/>
        <v>0.27648</v>
      </c>
    </row>
    <row r="231" spans="2:16" ht="42.75" x14ac:dyDescent="0.25">
      <c r="B231" s="287" t="s">
        <v>334</v>
      </c>
      <c r="C231" s="259" t="s">
        <v>208</v>
      </c>
      <c r="D231" s="259" t="s">
        <v>88</v>
      </c>
      <c r="E231" s="259">
        <v>0.26040000000000002</v>
      </c>
      <c r="F231" s="259">
        <v>8.51</v>
      </c>
      <c r="G231" s="34">
        <f t="shared" si="10"/>
        <v>2.2160040000000003</v>
      </c>
    </row>
    <row r="232" spans="2:16" x14ac:dyDescent="0.25">
      <c r="B232" s="35"/>
      <c r="C232" s="35"/>
      <c r="D232" s="396" t="s">
        <v>54</v>
      </c>
      <c r="E232" s="397"/>
      <c r="F232" s="34"/>
      <c r="G232" s="288">
        <v>0</v>
      </c>
    </row>
    <row r="233" spans="2:16" x14ac:dyDescent="0.25">
      <c r="B233" s="35"/>
      <c r="C233" s="35"/>
      <c r="D233" s="398" t="s">
        <v>55</v>
      </c>
      <c r="E233" s="399"/>
      <c r="F233" s="34"/>
      <c r="G233" s="288">
        <v>0</v>
      </c>
    </row>
    <row r="234" spans="2:16" x14ac:dyDescent="0.25">
      <c r="B234" s="35"/>
      <c r="C234" s="35"/>
      <c r="D234" s="398" t="s">
        <v>56</v>
      </c>
      <c r="E234" s="399"/>
      <c r="F234" s="34"/>
      <c r="G234" s="288">
        <f>SUM(G222:G231)</f>
        <v>11.738698000000001</v>
      </c>
    </row>
    <row r="235" spans="2:16" x14ac:dyDescent="0.25">
      <c r="B235" s="35"/>
      <c r="C235" s="35"/>
      <c r="D235" s="398" t="s">
        <v>57</v>
      </c>
      <c r="E235" s="399"/>
      <c r="F235" s="34"/>
      <c r="G235" s="288">
        <f>SUM(G217:G221)</f>
        <v>13.733845599999999</v>
      </c>
    </row>
    <row r="236" spans="2:16" ht="15.75" x14ac:dyDescent="0.25">
      <c r="B236" s="39"/>
      <c r="C236" s="27"/>
      <c r="D236" s="394" t="s">
        <v>58</v>
      </c>
      <c r="E236" s="395"/>
      <c r="F236" s="40"/>
      <c r="G236" s="41">
        <f>SUM(G217:G231)</f>
        <v>25.472543600000002</v>
      </c>
    </row>
    <row r="237" spans="2:16" x14ac:dyDescent="0.25">
      <c r="B237" s="117"/>
      <c r="C237" s="117"/>
      <c r="D237" s="413" t="s">
        <v>59</v>
      </c>
      <c r="E237" s="414"/>
      <c r="F237" s="143"/>
      <c r="G237" s="258">
        <f>ROUND(G236*1.2637,2)</f>
        <v>32.19</v>
      </c>
    </row>
    <row r="238" spans="2:16" x14ac:dyDescent="0.25">
      <c r="B238" s="244"/>
      <c r="C238" s="244"/>
      <c r="D238" s="244"/>
      <c r="E238" s="244"/>
      <c r="F238" s="244"/>
      <c r="G238" s="244"/>
    </row>
    <row r="239" spans="2:16" ht="105" x14ac:dyDescent="0.25">
      <c r="B239" s="37" t="s">
        <v>442</v>
      </c>
      <c r="C239" s="37" t="s">
        <v>310</v>
      </c>
      <c r="D239" s="37" t="s">
        <v>86</v>
      </c>
      <c r="E239" s="34" t="s">
        <v>9</v>
      </c>
      <c r="F239" s="34"/>
      <c r="G239" s="34"/>
      <c r="K239" s="299"/>
      <c r="L239" s="299"/>
      <c r="M239" s="300"/>
      <c r="N239" s="299"/>
      <c r="O239" s="301"/>
      <c r="P239" s="301"/>
    </row>
    <row r="240" spans="2:16" ht="42.75" x14ac:dyDescent="0.25">
      <c r="B240" s="287" t="s">
        <v>323</v>
      </c>
      <c r="C240" s="259" t="s">
        <v>311</v>
      </c>
      <c r="D240" s="259" t="s">
        <v>52</v>
      </c>
      <c r="E240" s="259">
        <v>1</v>
      </c>
      <c r="F240" s="259">
        <v>18.11</v>
      </c>
      <c r="G240" s="34">
        <f>F240*E240</f>
        <v>18.11</v>
      </c>
      <c r="K240" s="299"/>
      <c r="L240" s="299"/>
      <c r="M240" s="300"/>
      <c r="N240" s="299"/>
      <c r="O240" s="301"/>
      <c r="P240" s="301"/>
    </row>
    <row r="241" spans="2:19" ht="28.5" x14ac:dyDescent="0.25">
      <c r="B241" s="287" t="s">
        <v>327</v>
      </c>
      <c r="C241" s="259" t="s">
        <v>153</v>
      </c>
      <c r="D241" s="259" t="s">
        <v>52</v>
      </c>
      <c r="E241" s="259">
        <v>1.18</v>
      </c>
      <c r="F241" s="259">
        <v>14.68</v>
      </c>
      <c r="G241" s="34">
        <f>F241*E241</f>
        <v>17.322399999999998</v>
      </c>
      <c r="K241" s="299"/>
      <c r="L241" s="299"/>
      <c r="M241" s="300"/>
      <c r="N241" s="299"/>
      <c r="O241" s="301"/>
      <c r="P241" s="301"/>
      <c r="Q241" s="244"/>
      <c r="S241" s="244"/>
    </row>
    <row r="242" spans="2:19" s="244" customFormat="1" ht="71.25" x14ac:dyDescent="0.25">
      <c r="B242" s="287" t="s">
        <v>353</v>
      </c>
      <c r="C242" s="259" t="s">
        <v>313</v>
      </c>
      <c r="D242" s="259" t="s">
        <v>173</v>
      </c>
      <c r="E242" s="259">
        <v>0.1108</v>
      </c>
      <c r="F242" s="259">
        <v>2.2000000000000002</v>
      </c>
      <c r="G242" s="34">
        <f>F242*E242</f>
        <v>0.24376</v>
      </c>
      <c r="K242" s="299"/>
      <c r="L242" s="299"/>
      <c r="M242" s="300"/>
      <c r="N242" s="299"/>
      <c r="O242" s="301"/>
      <c r="P242" s="301"/>
    </row>
    <row r="243" spans="2:19" s="244" customFormat="1" ht="85.5" x14ac:dyDescent="0.25">
      <c r="B243" s="287" t="s">
        <v>354</v>
      </c>
      <c r="C243" s="259" t="s">
        <v>312</v>
      </c>
      <c r="D243" s="259" t="s">
        <v>86</v>
      </c>
      <c r="E243" s="259">
        <v>1.1000000000000001</v>
      </c>
      <c r="F243" s="259">
        <v>38.340000000000003</v>
      </c>
      <c r="G243" s="34">
        <f>F243*E243</f>
        <v>42.174000000000007</v>
      </c>
      <c r="K243" s="299"/>
      <c r="L243" s="299"/>
      <c r="M243" s="300"/>
      <c r="N243" s="299"/>
      <c r="O243" s="301"/>
      <c r="P243" s="301"/>
    </row>
    <row r="244" spans="2:19" x14ac:dyDescent="0.25">
      <c r="B244" s="35"/>
      <c r="C244" s="35"/>
      <c r="D244" s="396" t="s">
        <v>54</v>
      </c>
      <c r="E244" s="397"/>
      <c r="F244" s="34"/>
      <c r="G244" s="288">
        <v>0</v>
      </c>
      <c r="K244" s="299"/>
      <c r="L244" s="299"/>
      <c r="M244" s="300"/>
      <c r="N244" s="299"/>
      <c r="O244" s="301"/>
      <c r="P244" s="301"/>
      <c r="Q244" s="244"/>
    </row>
    <row r="245" spans="2:19" x14ac:dyDescent="0.25">
      <c r="B245" s="35"/>
      <c r="C245" s="35"/>
      <c r="D245" s="389" t="s">
        <v>55</v>
      </c>
      <c r="E245" s="389"/>
      <c r="F245" s="34"/>
      <c r="G245" s="288">
        <v>0</v>
      </c>
      <c r="K245" s="299"/>
      <c r="L245" s="299"/>
      <c r="M245" s="300"/>
      <c r="N245" s="299"/>
      <c r="O245" s="301"/>
      <c r="P245" s="301"/>
      <c r="Q245" s="244"/>
    </row>
    <row r="246" spans="2:19" x14ac:dyDescent="0.25">
      <c r="B246" s="35"/>
      <c r="C246" s="35"/>
      <c r="D246" s="389" t="s">
        <v>56</v>
      </c>
      <c r="E246" s="389"/>
      <c r="F246" s="34"/>
      <c r="G246" s="288">
        <f>SUM(G242:G243)</f>
        <v>42.417760000000008</v>
      </c>
      <c r="K246" s="299"/>
      <c r="L246" s="299"/>
      <c r="M246" s="300"/>
      <c r="N246" s="299"/>
      <c r="O246" s="301"/>
      <c r="P246" s="301"/>
      <c r="Q246" s="244"/>
    </row>
    <row r="247" spans="2:19" s="244" customFormat="1" x14ac:dyDescent="0.25">
      <c r="B247" s="35"/>
      <c r="C247" s="35"/>
      <c r="D247" s="389" t="s">
        <v>57</v>
      </c>
      <c r="E247" s="389"/>
      <c r="F247" s="34"/>
      <c r="G247" s="288">
        <f>SUM(G240:G241)</f>
        <v>35.432400000000001</v>
      </c>
      <c r="K247" s="299"/>
      <c r="L247" s="299"/>
      <c r="M247" s="300"/>
      <c r="N247" s="299"/>
      <c r="O247" s="301"/>
      <c r="P247" s="301"/>
    </row>
    <row r="248" spans="2:19" s="244" customFormat="1" ht="15.75" x14ac:dyDescent="0.25">
      <c r="B248" s="39"/>
      <c r="C248" s="27"/>
      <c r="D248" s="390" t="s">
        <v>58</v>
      </c>
      <c r="E248" s="391"/>
      <c r="F248" s="40"/>
      <c r="G248" s="41">
        <f>SUM(G240:G243)</f>
        <v>77.850160000000017</v>
      </c>
      <c r="K248" s="299"/>
      <c r="L248" s="299"/>
      <c r="M248" s="300"/>
      <c r="N248" s="299"/>
      <c r="O248" s="301"/>
      <c r="P248" s="301"/>
    </row>
    <row r="249" spans="2:19" s="244" customFormat="1" x14ac:dyDescent="0.25">
      <c r="B249" s="117"/>
      <c r="C249" s="117"/>
      <c r="D249" s="392" t="s">
        <v>59</v>
      </c>
      <c r="E249" s="392"/>
      <c r="F249" s="143"/>
      <c r="G249" s="256">
        <f>ROUND(G248*1.2637,2)</f>
        <v>98.38</v>
      </c>
      <c r="K249" s="299"/>
      <c r="L249" s="299"/>
      <c r="M249" s="300"/>
      <c r="N249" s="299"/>
      <c r="O249" s="301"/>
      <c r="P249" s="301"/>
    </row>
    <row r="250" spans="2:19" s="244" customFormat="1" x14ac:dyDescent="0.25">
      <c r="B250"/>
      <c r="C250"/>
      <c r="D250"/>
      <c r="E250"/>
      <c r="F250"/>
      <c r="G250"/>
      <c r="H250" s="284"/>
      <c r="I250" s="284"/>
      <c r="J250" s="284"/>
      <c r="K250" s="299"/>
      <c r="L250" s="299"/>
      <c r="M250" s="300"/>
      <c r="N250" s="299"/>
      <c r="O250" s="301"/>
      <c r="P250" s="301"/>
    </row>
    <row r="251" spans="2:19" ht="75" x14ac:dyDescent="0.25">
      <c r="B251" s="32" t="s">
        <v>443</v>
      </c>
      <c r="C251" s="144" t="s">
        <v>160</v>
      </c>
      <c r="D251" s="32" t="s">
        <v>60</v>
      </c>
      <c r="E251" s="33" t="s">
        <v>95</v>
      </c>
      <c r="F251" s="33" t="s">
        <v>167</v>
      </c>
      <c r="G251" s="33" t="s">
        <v>82</v>
      </c>
      <c r="K251" s="299"/>
      <c r="L251" s="299"/>
      <c r="M251" s="300"/>
      <c r="N251" s="299"/>
      <c r="O251" s="301"/>
      <c r="P251" s="301"/>
    </row>
    <row r="252" spans="2:19" ht="57" x14ac:dyDescent="0.25">
      <c r="B252" s="170" t="s">
        <v>168</v>
      </c>
      <c r="C252" s="145" t="s">
        <v>169</v>
      </c>
      <c r="D252" s="186" t="s">
        <v>87</v>
      </c>
      <c r="E252" s="34" t="s">
        <v>170</v>
      </c>
      <c r="F252" s="34">
        <v>77</v>
      </c>
      <c r="G252" s="34">
        <f>ROUND(E252*F252,2)</f>
        <v>0.85</v>
      </c>
      <c r="K252" s="299"/>
      <c r="L252" s="299"/>
      <c r="M252" s="300"/>
      <c r="N252" s="299"/>
      <c r="O252" s="301"/>
      <c r="P252" s="301"/>
    </row>
    <row r="253" spans="2:19" ht="28.5" x14ac:dyDescent="0.25">
      <c r="B253" s="170" t="s">
        <v>171</v>
      </c>
      <c r="C253" s="145" t="s">
        <v>172</v>
      </c>
      <c r="D253" s="186" t="s">
        <v>173</v>
      </c>
      <c r="E253" s="34" t="s">
        <v>174</v>
      </c>
      <c r="F253" s="34">
        <v>0.4</v>
      </c>
      <c r="G253" s="34">
        <f>ROUND(E253*F253,2)</f>
        <v>1.94</v>
      </c>
      <c r="K253" s="299"/>
      <c r="L253" s="299"/>
      <c r="M253" s="300"/>
      <c r="N253" s="299"/>
      <c r="O253" s="301"/>
      <c r="P253" s="301"/>
    </row>
    <row r="254" spans="2:19" ht="71.25" x14ac:dyDescent="0.25">
      <c r="B254" s="170" t="s">
        <v>175</v>
      </c>
      <c r="C254" s="145" t="s">
        <v>160</v>
      </c>
      <c r="D254" s="186" t="s">
        <v>176</v>
      </c>
      <c r="E254" s="34" t="s">
        <v>177</v>
      </c>
      <c r="F254" s="34">
        <v>128.22</v>
      </c>
      <c r="G254" s="34">
        <f>ROUND(E254*F254,2)</f>
        <v>128.22</v>
      </c>
      <c r="K254" s="299"/>
      <c r="L254" s="299"/>
      <c r="M254" s="300"/>
      <c r="N254" s="299"/>
      <c r="O254" s="301"/>
      <c r="P254" s="301"/>
    </row>
    <row r="255" spans="2:19" ht="28.5" x14ac:dyDescent="0.25">
      <c r="B255" s="170" t="s">
        <v>178</v>
      </c>
      <c r="C255" s="145" t="s">
        <v>179</v>
      </c>
      <c r="D255" s="186" t="s">
        <v>52</v>
      </c>
      <c r="E255" s="34" t="s">
        <v>180</v>
      </c>
      <c r="F255" s="34">
        <v>18.11</v>
      </c>
      <c r="G255" s="34">
        <f>ROUND(E255*F255,2)</f>
        <v>24.27</v>
      </c>
      <c r="K255" s="299"/>
      <c r="L255" s="299"/>
      <c r="M255" s="300"/>
      <c r="N255" s="299"/>
      <c r="O255" s="301"/>
      <c r="P255" s="301"/>
    </row>
    <row r="256" spans="2:19" ht="28.5" x14ac:dyDescent="0.25">
      <c r="B256" s="170" t="s">
        <v>181</v>
      </c>
      <c r="C256" s="145" t="s">
        <v>153</v>
      </c>
      <c r="D256" s="186" t="s">
        <v>52</v>
      </c>
      <c r="E256" s="34" t="s">
        <v>180</v>
      </c>
      <c r="F256" s="34">
        <v>14.68</v>
      </c>
      <c r="G256" s="34">
        <f>ROUND(E256*F256,2)</f>
        <v>19.670000000000002</v>
      </c>
    </row>
    <row r="257" spans="2:17" x14ac:dyDescent="0.25">
      <c r="B257" s="117"/>
      <c r="C257" s="117"/>
      <c r="D257" s="388" t="s">
        <v>54</v>
      </c>
      <c r="E257" s="388"/>
      <c r="F257" s="34"/>
      <c r="G257" s="34" t="e">
        <f>#REF!</f>
        <v>#REF!</v>
      </c>
      <c r="J257">
        <f>1.95*2.1</f>
        <v>4.0949999999999998</v>
      </c>
    </row>
    <row r="258" spans="2:17" x14ac:dyDescent="0.25">
      <c r="B258" s="117"/>
      <c r="C258" s="117"/>
      <c r="D258" s="389" t="s">
        <v>55</v>
      </c>
      <c r="E258" s="389"/>
      <c r="F258" s="34"/>
      <c r="G258" s="34" t="e">
        <f>#REF!</f>
        <v>#REF!</v>
      </c>
      <c r="K258" s="299"/>
      <c r="L258" s="299"/>
      <c r="M258" s="300"/>
      <c r="N258" s="299"/>
      <c r="O258" s="301"/>
      <c r="P258" s="301"/>
      <c r="Q258" s="284"/>
    </row>
    <row r="259" spans="2:17" x14ac:dyDescent="0.25">
      <c r="B259" s="117"/>
      <c r="C259" s="117"/>
      <c r="D259" s="389" t="s">
        <v>56</v>
      </c>
      <c r="E259" s="389"/>
      <c r="F259" s="34"/>
      <c r="G259" s="34">
        <f>G252+G253+G254</f>
        <v>131.01</v>
      </c>
      <c r="J259">
        <f>4.095*0.67/4.725</f>
        <v>0.58066666666666678</v>
      </c>
      <c r="K259" s="299"/>
      <c r="L259" s="299"/>
      <c r="M259" s="300"/>
      <c r="N259" s="299"/>
      <c r="O259" s="301"/>
      <c r="P259" s="301"/>
      <c r="Q259" s="284"/>
    </row>
    <row r="260" spans="2:17" x14ac:dyDescent="0.25">
      <c r="C260" s="117"/>
      <c r="D260" s="389" t="s">
        <v>57</v>
      </c>
      <c r="E260" s="389"/>
      <c r="F260" s="34"/>
      <c r="G260" s="34">
        <f>G255+G256</f>
        <v>43.94</v>
      </c>
      <c r="K260" s="299"/>
      <c r="L260" s="299"/>
      <c r="M260" s="300"/>
      <c r="N260" s="299"/>
      <c r="O260" s="301"/>
      <c r="P260" s="301"/>
      <c r="Q260" s="284"/>
    </row>
    <row r="261" spans="2:17" x14ac:dyDescent="0.25">
      <c r="D261" s="393" t="s">
        <v>58</v>
      </c>
      <c r="E261" s="393"/>
      <c r="F261" s="34"/>
      <c r="G261" s="36" t="e">
        <f>SUM(G257:G260)</f>
        <v>#REF!</v>
      </c>
      <c r="K261" s="299"/>
      <c r="L261" s="299"/>
      <c r="M261" s="300"/>
      <c r="N261" s="299"/>
      <c r="O261" s="301"/>
      <c r="P261" s="301"/>
      <c r="Q261" s="284"/>
    </row>
    <row r="262" spans="2:17" x14ac:dyDescent="0.25">
      <c r="D262" s="392" t="s">
        <v>59</v>
      </c>
      <c r="E262" s="392"/>
      <c r="F262" s="143"/>
      <c r="G262" s="171" t="e">
        <f>ROUND(G261*1.2637,2)</f>
        <v>#REF!</v>
      </c>
      <c r="K262" s="299"/>
      <c r="L262" s="299"/>
      <c r="M262" s="300"/>
      <c r="N262" s="299"/>
      <c r="O262" s="301"/>
      <c r="P262" s="301"/>
      <c r="Q262" s="284"/>
    </row>
    <row r="263" spans="2:17" x14ac:dyDescent="0.25">
      <c r="K263" s="299"/>
      <c r="L263" s="299"/>
      <c r="M263" s="300"/>
      <c r="N263" s="299"/>
      <c r="O263" s="301"/>
      <c r="P263" s="301"/>
      <c r="Q263" s="284"/>
    </row>
    <row r="264" spans="2:17" ht="30" x14ac:dyDescent="0.25">
      <c r="B264" s="37" t="s">
        <v>444</v>
      </c>
      <c r="C264" s="37" t="s">
        <v>255</v>
      </c>
      <c r="D264" s="38" t="s">
        <v>88</v>
      </c>
      <c r="E264" s="34" t="s">
        <v>9</v>
      </c>
      <c r="F264" s="34"/>
      <c r="G264" s="34"/>
      <c r="K264" s="299"/>
      <c r="L264" s="299"/>
      <c r="M264" s="300"/>
      <c r="N264" s="299"/>
      <c r="O264" s="301"/>
      <c r="P264" s="301"/>
      <c r="Q264" s="284"/>
    </row>
    <row r="265" spans="2:17" ht="42.75" x14ac:dyDescent="0.25">
      <c r="B265" s="287" t="s">
        <v>90</v>
      </c>
      <c r="C265" s="257" t="s">
        <v>53</v>
      </c>
      <c r="D265" s="257" t="s">
        <v>52</v>
      </c>
      <c r="E265" s="257">
        <v>1</v>
      </c>
      <c r="F265" s="257">
        <v>14.26</v>
      </c>
      <c r="G265" s="34">
        <f>F265*E265</f>
        <v>14.26</v>
      </c>
      <c r="K265" s="299"/>
      <c r="L265" s="299"/>
      <c r="M265" s="300"/>
      <c r="N265" s="299"/>
      <c r="O265" s="301"/>
      <c r="P265" s="301"/>
      <c r="Q265" s="284"/>
    </row>
    <row r="266" spans="2:17" ht="28.5" x14ac:dyDescent="0.25">
      <c r="B266" s="287" t="s">
        <v>89</v>
      </c>
      <c r="C266" s="257" t="s">
        <v>51</v>
      </c>
      <c r="D266" s="257" t="s">
        <v>52</v>
      </c>
      <c r="E266" s="257">
        <v>1</v>
      </c>
      <c r="F266" s="257">
        <v>18.32</v>
      </c>
      <c r="G266" s="34">
        <f>F266*E266</f>
        <v>18.32</v>
      </c>
      <c r="K266" s="299"/>
      <c r="L266" s="299"/>
      <c r="M266" s="300"/>
      <c r="N266" s="299"/>
      <c r="O266" s="301"/>
      <c r="P266" s="301"/>
      <c r="Q266" s="284"/>
    </row>
    <row r="267" spans="2:17" ht="28.5" x14ac:dyDescent="0.25">
      <c r="B267" s="287" t="s">
        <v>337</v>
      </c>
      <c r="C267" s="257" t="s">
        <v>256</v>
      </c>
      <c r="D267" s="257" t="s">
        <v>88</v>
      </c>
      <c r="E267" s="257">
        <v>1</v>
      </c>
      <c r="F267" s="257">
        <v>15.08</v>
      </c>
      <c r="G267" s="34">
        <f>F267*E267</f>
        <v>15.08</v>
      </c>
      <c r="K267" s="299"/>
      <c r="L267" s="299"/>
      <c r="M267" s="300"/>
      <c r="N267" s="299"/>
      <c r="O267" s="301"/>
      <c r="P267" s="301"/>
      <c r="Q267" s="284"/>
    </row>
    <row r="268" spans="2:17" ht="28.5" x14ac:dyDescent="0.25">
      <c r="B268" s="287" t="s">
        <v>338</v>
      </c>
      <c r="C268" s="257" t="s">
        <v>257</v>
      </c>
      <c r="D268" s="257" t="s">
        <v>176</v>
      </c>
      <c r="E268" s="257">
        <v>0.5</v>
      </c>
      <c r="F268" s="257">
        <v>5.51</v>
      </c>
      <c r="G268" s="34">
        <f>F268*E268</f>
        <v>2.7549999999999999</v>
      </c>
      <c r="K268" s="299"/>
      <c r="L268" s="299"/>
      <c r="M268" s="300"/>
      <c r="N268" s="299"/>
      <c r="O268" s="301"/>
      <c r="P268" s="301"/>
      <c r="Q268" s="284"/>
    </row>
    <row r="269" spans="2:17" x14ac:dyDescent="0.25">
      <c r="B269" s="35"/>
      <c r="C269" s="35"/>
      <c r="D269" s="388" t="s">
        <v>54</v>
      </c>
      <c r="E269" s="388"/>
      <c r="F269" s="34"/>
      <c r="G269" s="288">
        <v>0</v>
      </c>
      <c r="K269" s="303"/>
      <c r="L269" s="284"/>
      <c r="M269" s="284"/>
      <c r="N269" s="284"/>
      <c r="O269" s="284"/>
      <c r="P269" s="284"/>
      <c r="Q269" s="284"/>
    </row>
    <row r="270" spans="2:17" x14ac:dyDescent="0.25">
      <c r="B270" s="35"/>
      <c r="C270" s="35"/>
      <c r="D270" s="389" t="s">
        <v>55</v>
      </c>
      <c r="E270" s="389"/>
      <c r="F270" s="34"/>
      <c r="G270" s="288">
        <v>0</v>
      </c>
      <c r="K270" s="244"/>
    </row>
    <row r="271" spans="2:17" x14ac:dyDescent="0.25">
      <c r="B271" s="35"/>
      <c r="C271" s="35"/>
      <c r="D271" s="389" t="s">
        <v>56</v>
      </c>
      <c r="E271" s="389"/>
      <c r="F271" s="34"/>
      <c r="G271" s="288">
        <f>(F267*E267)+(F268*E268)</f>
        <v>17.835000000000001</v>
      </c>
      <c r="K271" s="304"/>
    </row>
    <row r="272" spans="2:17" x14ac:dyDescent="0.25">
      <c r="B272" s="35"/>
      <c r="C272" s="35"/>
      <c r="D272" s="389" t="s">
        <v>57</v>
      </c>
      <c r="E272" s="389"/>
      <c r="F272" s="34"/>
      <c r="G272" s="288">
        <f>(F265*E265)+(F266*E266)</f>
        <v>32.58</v>
      </c>
      <c r="K272" s="244"/>
    </row>
    <row r="273" spans="2:11" ht="15.75" x14ac:dyDescent="0.25">
      <c r="B273" s="39"/>
      <c r="C273" s="27"/>
      <c r="D273" s="390" t="s">
        <v>58</v>
      </c>
      <c r="E273" s="391"/>
      <c r="F273" s="40"/>
      <c r="G273" s="41">
        <f>SUM(G265:G268)</f>
        <v>50.414999999999999</v>
      </c>
      <c r="K273" s="244"/>
    </row>
    <row r="274" spans="2:11" x14ac:dyDescent="0.25">
      <c r="B274" s="117"/>
      <c r="C274" s="117"/>
      <c r="D274" s="392" t="s">
        <v>59</v>
      </c>
      <c r="E274" s="392"/>
      <c r="F274" s="143"/>
      <c r="G274" s="256">
        <f>ROUND(G273*1.2637,2)</f>
        <v>63.71</v>
      </c>
      <c r="K274" s="244"/>
    </row>
    <row r="275" spans="2:11" s="244" customFormat="1" x14ac:dyDescent="0.25">
      <c r="B275"/>
      <c r="C275"/>
      <c r="D275"/>
      <c r="E275"/>
      <c r="F275"/>
      <c r="G275"/>
      <c r="J275" s="244">
        <f>3.1*2.1</f>
        <v>6.5100000000000007</v>
      </c>
      <c r="K275" s="304"/>
    </row>
    <row r="276" spans="2:11" s="244" customFormat="1" ht="30" x14ac:dyDescent="0.25">
      <c r="B276" s="32" t="s">
        <v>459</v>
      </c>
      <c r="C276" s="144" t="s">
        <v>460</v>
      </c>
      <c r="D276" s="32" t="s">
        <v>60</v>
      </c>
      <c r="E276" s="33"/>
      <c r="F276" s="33"/>
      <c r="G276" s="33"/>
      <c r="J276" s="244">
        <f>6.51*0.04/4.095</f>
        <v>6.3589743589743605E-2</v>
      </c>
      <c r="K276" s="304"/>
    </row>
    <row r="277" spans="2:11" ht="71.25" x14ac:dyDescent="0.25">
      <c r="B277" s="307" t="s">
        <v>462</v>
      </c>
      <c r="C277" s="145" t="s">
        <v>461</v>
      </c>
      <c r="D277" s="307" t="s">
        <v>52</v>
      </c>
      <c r="E277" s="233">
        <v>1</v>
      </c>
      <c r="F277" s="34">
        <v>4743.97</v>
      </c>
      <c r="G277" s="34">
        <f>F277*E277</f>
        <v>4743.97</v>
      </c>
    </row>
    <row r="278" spans="2:11" ht="28.5" x14ac:dyDescent="0.25">
      <c r="B278" s="307" t="s">
        <v>89</v>
      </c>
      <c r="C278" s="145" t="s">
        <v>51</v>
      </c>
      <c r="D278" s="307" t="s">
        <v>52</v>
      </c>
      <c r="E278" s="233">
        <v>8</v>
      </c>
      <c r="F278" s="34">
        <v>18.32</v>
      </c>
      <c r="G278" s="34">
        <f t="shared" ref="G278:G279" si="11">F278*E278</f>
        <v>146.56</v>
      </c>
    </row>
    <row r="279" spans="2:11" ht="28.5" x14ac:dyDescent="0.25">
      <c r="B279" s="307" t="s">
        <v>327</v>
      </c>
      <c r="C279" s="145" t="s">
        <v>153</v>
      </c>
      <c r="D279" s="307" t="s">
        <v>52</v>
      </c>
      <c r="E279" s="233">
        <v>8</v>
      </c>
      <c r="F279" s="34">
        <v>22.29</v>
      </c>
      <c r="G279" s="34">
        <f t="shared" si="11"/>
        <v>178.32</v>
      </c>
    </row>
    <row r="280" spans="2:11" x14ac:dyDescent="0.25">
      <c r="B280" s="35"/>
      <c r="C280" s="35"/>
      <c r="D280" s="388" t="s">
        <v>54</v>
      </c>
      <c r="E280" s="388"/>
      <c r="F280" s="34"/>
      <c r="G280" s="34">
        <v>0</v>
      </c>
    </row>
    <row r="281" spans="2:11" x14ac:dyDescent="0.25">
      <c r="B281" s="35"/>
      <c r="C281" s="35"/>
      <c r="D281" s="389" t="s">
        <v>55</v>
      </c>
      <c r="E281" s="389"/>
      <c r="F281" s="34"/>
      <c r="G281" s="34">
        <v>0</v>
      </c>
    </row>
    <row r="282" spans="2:11" x14ac:dyDescent="0.25">
      <c r="B282" s="35"/>
      <c r="C282" s="35"/>
      <c r="D282" s="389" t="s">
        <v>56</v>
      </c>
      <c r="E282" s="389"/>
      <c r="F282" s="34"/>
      <c r="G282" s="34">
        <v>0</v>
      </c>
    </row>
    <row r="283" spans="2:11" x14ac:dyDescent="0.25">
      <c r="B283" s="35"/>
      <c r="C283" s="35"/>
      <c r="D283" s="389" t="s">
        <v>57</v>
      </c>
      <c r="E283" s="389"/>
      <c r="F283" s="34"/>
      <c r="G283" s="34">
        <f>SUM(G277:G277)</f>
        <v>4743.97</v>
      </c>
    </row>
    <row r="284" spans="2:11" x14ac:dyDescent="0.25">
      <c r="B284" s="35"/>
      <c r="C284" s="35"/>
      <c r="D284" s="393" t="s">
        <v>58</v>
      </c>
      <c r="E284" s="393"/>
      <c r="F284" s="34"/>
      <c r="G284" s="36">
        <f>G277+G278+G279</f>
        <v>5068.8500000000004</v>
      </c>
    </row>
    <row r="285" spans="2:11" x14ac:dyDescent="0.25">
      <c r="B285" s="35"/>
      <c r="C285" s="35"/>
      <c r="D285" s="392" t="s">
        <v>59</v>
      </c>
      <c r="E285" s="392"/>
      <c r="F285" s="143"/>
      <c r="G285" s="308">
        <f>ROUND(G284*1.2637,2)</f>
        <v>6405.51</v>
      </c>
    </row>
    <row r="287" spans="2:11" x14ac:dyDescent="0.25">
      <c r="B287" s="32" t="s">
        <v>492</v>
      </c>
      <c r="C287" s="144" t="s">
        <v>194</v>
      </c>
      <c r="D287" s="32" t="s">
        <v>60</v>
      </c>
      <c r="E287" s="33"/>
      <c r="F287" s="33"/>
      <c r="G287" s="33"/>
    </row>
    <row r="288" spans="2:11" ht="42.75" x14ac:dyDescent="0.25">
      <c r="B288" s="194" t="s">
        <v>195</v>
      </c>
      <c r="C288" s="145" t="s">
        <v>196</v>
      </c>
      <c r="D288" s="194" t="s">
        <v>52</v>
      </c>
      <c r="E288" s="233">
        <v>5.8000000000000003E-2</v>
      </c>
      <c r="F288" s="34">
        <v>22.29</v>
      </c>
      <c r="G288" s="34">
        <f>F288*E288</f>
        <v>1.2928200000000001</v>
      </c>
    </row>
    <row r="289" spans="2:10" x14ac:dyDescent="0.25">
      <c r="B289" s="35"/>
      <c r="C289" s="35"/>
      <c r="D289" s="388" t="s">
        <v>54</v>
      </c>
      <c r="E289" s="388"/>
      <c r="F289" s="34"/>
      <c r="G289" s="34">
        <v>0</v>
      </c>
    </row>
    <row r="290" spans="2:10" x14ac:dyDescent="0.25">
      <c r="B290" s="35"/>
      <c r="C290" s="35"/>
      <c r="D290" s="389" t="s">
        <v>55</v>
      </c>
      <c r="E290" s="389"/>
      <c r="F290" s="34"/>
      <c r="G290" s="34">
        <v>0</v>
      </c>
    </row>
    <row r="291" spans="2:10" x14ac:dyDescent="0.25">
      <c r="B291" s="35"/>
      <c r="C291" s="35"/>
      <c r="D291" s="389" t="s">
        <v>56</v>
      </c>
      <c r="E291" s="389"/>
      <c r="F291" s="34"/>
      <c r="G291" s="34">
        <v>0</v>
      </c>
      <c r="J291">
        <f>1.95*2.1</f>
        <v>4.0949999999999998</v>
      </c>
    </row>
    <row r="292" spans="2:10" x14ac:dyDescent="0.25">
      <c r="B292" s="35"/>
      <c r="C292" s="35"/>
      <c r="D292" s="389" t="s">
        <v>57</v>
      </c>
      <c r="E292" s="389"/>
      <c r="F292" s="34"/>
      <c r="G292" s="34">
        <f>SUM(G288:G288)</f>
        <v>1.2928200000000001</v>
      </c>
      <c r="J292">
        <f>4.095*0.004/2.73</f>
        <v>5.9999999999999993E-3</v>
      </c>
    </row>
    <row r="293" spans="2:10" x14ac:dyDescent="0.25">
      <c r="B293" s="35"/>
      <c r="C293" s="35"/>
      <c r="D293" s="393" t="s">
        <v>58</v>
      </c>
      <c r="E293" s="393"/>
      <c r="F293" s="34"/>
      <c r="G293" s="36">
        <f>SUM(G289:G292)</f>
        <v>1.2928200000000001</v>
      </c>
    </row>
    <row r="294" spans="2:10" x14ac:dyDescent="0.25">
      <c r="B294" s="35"/>
      <c r="C294" s="35"/>
      <c r="D294" s="392" t="s">
        <v>59</v>
      </c>
      <c r="E294" s="392"/>
      <c r="F294" s="143"/>
      <c r="G294" s="193">
        <f>ROUND(G293*1.2637,2)</f>
        <v>1.63</v>
      </c>
    </row>
  </sheetData>
  <mergeCells count="122">
    <mergeCell ref="D152:E152"/>
    <mergeCell ref="D153:E153"/>
    <mergeCell ref="D154:E154"/>
    <mergeCell ref="D155:E155"/>
    <mergeCell ref="D156:E156"/>
    <mergeCell ref="D188:E188"/>
    <mergeCell ref="D189:E189"/>
    <mergeCell ref="D190:E190"/>
    <mergeCell ref="D169:E169"/>
    <mergeCell ref="D170:E170"/>
    <mergeCell ref="D171:E171"/>
    <mergeCell ref="D172:E172"/>
    <mergeCell ref="D173:E173"/>
    <mergeCell ref="D174:E174"/>
    <mergeCell ref="D185:E185"/>
    <mergeCell ref="D186:E186"/>
    <mergeCell ref="D187:E187"/>
    <mergeCell ref="D47:E47"/>
    <mergeCell ref="D48:E48"/>
    <mergeCell ref="D49:E49"/>
    <mergeCell ref="D50:E50"/>
    <mergeCell ref="D51:E51"/>
    <mergeCell ref="D237:E237"/>
    <mergeCell ref="D52:E52"/>
    <mergeCell ref="D214:E214"/>
    <mergeCell ref="D246:E246"/>
    <mergeCell ref="D53:E53"/>
    <mergeCell ref="D232:E232"/>
    <mergeCell ref="D233:E233"/>
    <mergeCell ref="D234:E234"/>
    <mergeCell ref="D235:E235"/>
    <mergeCell ref="D119:E119"/>
    <mergeCell ref="D120:E120"/>
    <mergeCell ref="D121:E121"/>
    <mergeCell ref="D122:E122"/>
    <mergeCell ref="D123:E123"/>
    <mergeCell ref="D124:E124"/>
    <mergeCell ref="D135:E135"/>
    <mergeCell ref="D136:E136"/>
    <mergeCell ref="D137:E137"/>
    <mergeCell ref="D138:E138"/>
    <mergeCell ref="D22:E22"/>
    <mergeCell ref="D23:E23"/>
    <mergeCell ref="D24:E24"/>
    <mergeCell ref="D25:E25"/>
    <mergeCell ref="D38:E38"/>
    <mergeCell ref="D39:E39"/>
    <mergeCell ref="D40:E40"/>
    <mergeCell ref="D41:E41"/>
    <mergeCell ref="C1:G1"/>
    <mergeCell ref="C2:G2"/>
    <mergeCell ref="C3:G3"/>
    <mergeCell ref="C4:G4"/>
    <mergeCell ref="C5:G5"/>
    <mergeCell ref="D26:E26"/>
    <mergeCell ref="D27:E27"/>
    <mergeCell ref="C6:G6"/>
    <mergeCell ref="B7:G7"/>
    <mergeCell ref="D36:E36"/>
    <mergeCell ref="D37:E37"/>
    <mergeCell ref="D294:E294"/>
    <mergeCell ref="D289:E289"/>
    <mergeCell ref="D290:E290"/>
    <mergeCell ref="D291:E291"/>
    <mergeCell ref="D292:E292"/>
    <mergeCell ref="D293:E293"/>
    <mergeCell ref="D257:E257"/>
    <mergeCell ref="D258:E258"/>
    <mergeCell ref="D259:E259"/>
    <mergeCell ref="D260:E260"/>
    <mergeCell ref="D262:E262"/>
    <mergeCell ref="D280:E280"/>
    <mergeCell ref="D281:E281"/>
    <mergeCell ref="D282:E282"/>
    <mergeCell ref="D283:E283"/>
    <mergeCell ref="D284:E284"/>
    <mergeCell ref="D285:E285"/>
    <mergeCell ref="D272:E272"/>
    <mergeCell ref="D273:E273"/>
    <mergeCell ref="D274:E274"/>
    <mergeCell ref="D269:E269"/>
    <mergeCell ref="D270:E270"/>
    <mergeCell ref="D271:E271"/>
    <mergeCell ref="D249:E249"/>
    <mergeCell ref="D245:E245"/>
    <mergeCell ref="D261:E261"/>
    <mergeCell ref="D236:E236"/>
    <mergeCell ref="D244:E244"/>
    <mergeCell ref="D201:E201"/>
    <mergeCell ref="D213:E213"/>
    <mergeCell ref="D212:E212"/>
    <mergeCell ref="D211:E211"/>
    <mergeCell ref="D210:E210"/>
    <mergeCell ref="D209:E209"/>
    <mergeCell ref="D202:E202"/>
    <mergeCell ref="D203:E203"/>
    <mergeCell ref="D247:E247"/>
    <mergeCell ref="D248:E248"/>
    <mergeCell ref="D65:E65"/>
    <mergeCell ref="D66:E66"/>
    <mergeCell ref="D67:E67"/>
    <mergeCell ref="D198:E198"/>
    <mergeCell ref="D199:E199"/>
    <mergeCell ref="D200:E200"/>
    <mergeCell ref="D85:E85"/>
    <mergeCell ref="D86:E86"/>
    <mergeCell ref="D87:E87"/>
    <mergeCell ref="D88:E88"/>
    <mergeCell ref="D68:E68"/>
    <mergeCell ref="D69:E69"/>
    <mergeCell ref="D103:E103"/>
    <mergeCell ref="D104:E104"/>
    <mergeCell ref="D105:E105"/>
    <mergeCell ref="D70:E70"/>
    <mergeCell ref="D83:E83"/>
    <mergeCell ref="D84:E84"/>
    <mergeCell ref="D106:E106"/>
    <mergeCell ref="D107:E107"/>
    <mergeCell ref="D108:E108"/>
    <mergeCell ref="D139:E139"/>
    <mergeCell ref="D140:E140"/>
    <mergeCell ref="D151:E151"/>
  </mergeCells>
  <conditionalFormatting sqref="K239:P243 K244:O244 K245:P250">
    <cfRule type="expression" dxfId="63" priority="93" stopIfTrue="1">
      <formula>AND($A239&lt;&gt;"COMPOSICAO",$A239&lt;&gt;"INSUMO",$A239&lt;&gt;"")</formula>
    </cfRule>
    <cfRule type="expression" dxfId="62" priority="94" stopIfTrue="1">
      <formula>AND(OR($A239="COMPOSICAO",$A239="INSUMO",$A239&lt;&gt;""),$A239&lt;&gt;"")</formula>
    </cfRule>
  </conditionalFormatting>
  <conditionalFormatting sqref="P244">
    <cfRule type="expression" dxfId="61" priority="87" stopIfTrue="1">
      <formula>AND($A244&lt;&gt;"COMPOSICAO",$A244&lt;&gt;"INSUMO",$A244&lt;&gt;"")</formula>
    </cfRule>
    <cfRule type="expression" dxfId="60" priority="88" stopIfTrue="1">
      <formula>AND(OR($A244="COMPOSICAO",$A244="INSUMO",$A244&lt;&gt;""),$A244&lt;&gt;"")</formula>
    </cfRule>
  </conditionalFormatting>
  <conditionalFormatting sqref="K251:P255">
    <cfRule type="expression" dxfId="59" priority="85" stopIfTrue="1">
      <formula>AND($A251&lt;&gt;"COMPOSICAO",$A251&lt;&gt;"INSUMO",$A251&lt;&gt;"")</formula>
    </cfRule>
    <cfRule type="expression" dxfId="58" priority="86" stopIfTrue="1">
      <formula>AND(OR($A251="COMPOSICAO",$A251="INSUMO",$A251&lt;&gt;""),$A251&lt;&gt;"")</formula>
    </cfRule>
  </conditionalFormatting>
  <conditionalFormatting sqref="K259:P259">
    <cfRule type="expression" dxfId="57" priority="83" stopIfTrue="1">
      <formula>AND($A259&lt;&gt;"COMPOSICAO",$A259&lt;&gt;"INSUMO",$A259&lt;&gt;"")</formula>
    </cfRule>
    <cfRule type="expression" dxfId="56" priority="84" stopIfTrue="1">
      <formula>AND(OR($A259="COMPOSICAO",$A259="INSUMO",$A259&lt;&gt;""),$A259&lt;&gt;"")</formula>
    </cfRule>
  </conditionalFormatting>
  <conditionalFormatting sqref="K260:P260">
    <cfRule type="expression" dxfId="55" priority="81" stopIfTrue="1">
      <formula>AND($A260&lt;&gt;"COMPOSICAO",$A260&lt;&gt;"INSUMO",$A260&lt;&gt;"")</formula>
    </cfRule>
    <cfRule type="expression" dxfId="54" priority="82" stopIfTrue="1">
      <formula>AND(OR($A260="COMPOSICAO",$A260="INSUMO",$A260&lt;&gt;""),$A260&lt;&gt;"")</formula>
    </cfRule>
  </conditionalFormatting>
  <conditionalFormatting sqref="K261:K264">
    <cfRule type="expression" dxfId="53" priority="79" stopIfTrue="1">
      <formula>AND($A261&lt;&gt;"COMPOSICAO",$A261&lt;&gt;"INSUMO",$A261&lt;&gt;"")</formula>
    </cfRule>
    <cfRule type="expression" dxfId="52" priority="80" stopIfTrue="1">
      <formula>AND(OR($A261="COMPOSICAO",$A261="INSUMO",$A261&lt;&gt;""),$A261&lt;&gt;"")</formula>
    </cfRule>
  </conditionalFormatting>
  <conditionalFormatting sqref="L261:L264">
    <cfRule type="expression" dxfId="51" priority="77" stopIfTrue="1">
      <formula>AND($A261&lt;&gt;"COMPOSICAO",$A261&lt;&gt;"INSUMO",$A261&lt;&gt;"")</formula>
    </cfRule>
    <cfRule type="expression" dxfId="50" priority="78" stopIfTrue="1">
      <formula>AND(OR($A261="COMPOSICAO",$A261="INSUMO",$A261&lt;&gt;""),$A261&lt;&gt;"")</formula>
    </cfRule>
  </conditionalFormatting>
  <conditionalFormatting sqref="D57">
    <cfRule type="expression" dxfId="49" priority="49" stopIfTrue="1">
      <formula>AND($A244&lt;&gt;"COMPOSICAO",$A244&lt;&gt;"INSUMO",$A244&lt;&gt;"")</formula>
    </cfRule>
    <cfRule type="expression" dxfId="48" priority="50" stopIfTrue="1">
      <formula>AND(OR($A244="COMPOSICAO",$A244="INSUMO",$A244&lt;&gt;""),$A244&lt;&gt;"")</formula>
    </cfRule>
  </conditionalFormatting>
  <conditionalFormatting sqref="N261:N264">
    <cfRule type="expression" dxfId="47" priority="73" stopIfTrue="1">
      <formula>AND($A261&lt;&gt;"COMPOSICAO",$A261&lt;&gt;"INSUMO",$A261&lt;&gt;"")</formula>
    </cfRule>
    <cfRule type="expression" dxfId="46" priority="74" stopIfTrue="1">
      <formula>AND(OR($A261="COMPOSICAO",$A261="INSUMO",$A261&lt;&gt;""),$A261&lt;&gt;"")</formula>
    </cfRule>
  </conditionalFormatting>
  <conditionalFormatting sqref="O261:O264">
    <cfRule type="expression" dxfId="45" priority="71" stopIfTrue="1">
      <formula>AND($A261&lt;&gt;"COMPOSICAO",$A261&lt;&gt;"INSUMO",$A261&lt;&gt;"")</formula>
    </cfRule>
    <cfRule type="expression" dxfId="44" priority="72" stopIfTrue="1">
      <formula>AND(OR($A261="COMPOSICAO",$A261="INSUMO",$A261&lt;&gt;""),$A261&lt;&gt;"")</formula>
    </cfRule>
  </conditionalFormatting>
  <conditionalFormatting sqref="M261">
    <cfRule type="expression" dxfId="43" priority="69" stopIfTrue="1">
      <formula>AND($A261&lt;&gt;"COMPOSICAO",$A261&lt;&gt;"INSUMO",$A261&lt;&gt;"")</formula>
    </cfRule>
    <cfRule type="expression" dxfId="42" priority="70" stopIfTrue="1">
      <formula>AND(OR($A261="COMPOSICAO",$A261="INSUMO",$A261&lt;&gt;""),$A261&lt;&gt;"")</formula>
    </cfRule>
  </conditionalFormatting>
  <conditionalFormatting sqref="P261:P267">
    <cfRule type="expression" dxfId="41" priority="67" stopIfTrue="1">
      <formula>AND($A261&lt;&gt;"COMPOSICAO",$A261&lt;&gt;"INSUMO",$A261&lt;&gt;"")</formula>
    </cfRule>
    <cfRule type="expression" dxfId="40" priority="68" stopIfTrue="1">
      <formula>AND(OR($A261="COMPOSICAO",$A261="INSUMO",$A261&lt;&gt;""),$A261&lt;&gt;"")</formula>
    </cfRule>
  </conditionalFormatting>
  <conditionalFormatting sqref="M262">
    <cfRule type="expression" dxfId="39" priority="65" stopIfTrue="1">
      <formula>AND($A262&lt;&gt;"COMPOSICAO",$A262&lt;&gt;"INSUMO",$A262&lt;&gt;"")</formula>
    </cfRule>
    <cfRule type="expression" dxfId="38" priority="66" stopIfTrue="1">
      <formula>AND(OR($A262="COMPOSICAO",$A262="INSUMO",$A262&lt;&gt;""),$A262&lt;&gt;"")</formula>
    </cfRule>
  </conditionalFormatting>
  <conditionalFormatting sqref="M263:M264">
    <cfRule type="expression" dxfId="37" priority="63" stopIfTrue="1">
      <formula>AND($A263&lt;&gt;"COMPOSICAO",$A263&lt;&gt;"INSUMO",$A263&lt;&gt;"")</formula>
    </cfRule>
    <cfRule type="expression" dxfId="36" priority="64" stopIfTrue="1">
      <formula>AND(OR($A263="COMPOSICAO",$A263="INSUMO",$A263&lt;&gt;""),$A263&lt;&gt;"")</formula>
    </cfRule>
  </conditionalFormatting>
  <conditionalFormatting sqref="K265:O267 K268">
    <cfRule type="expression" dxfId="35" priority="61" stopIfTrue="1">
      <formula>AND($A265&lt;&gt;"COMPOSICAO",$A265&lt;&gt;"INSUMO",$A265&lt;&gt;"")</formula>
    </cfRule>
    <cfRule type="expression" dxfId="34" priority="62" stopIfTrue="1">
      <formula>AND(OR($A265="COMPOSICAO",$A265="INSUMO",$A265&lt;&gt;""),$A265&lt;&gt;"")</formula>
    </cfRule>
  </conditionalFormatting>
  <conditionalFormatting sqref="L268:P268">
    <cfRule type="expression" dxfId="33" priority="59" stopIfTrue="1">
      <formula>AND($A268&lt;&gt;"COMPOSICAO",$A268&lt;&gt;"INSUMO",$A268&lt;&gt;"")</formula>
    </cfRule>
    <cfRule type="expression" dxfId="32" priority="60" stopIfTrue="1">
      <formula>AND(OR($A268="COMPOSICAO",$A268="INSUMO",$A268&lt;&gt;""),$A268&lt;&gt;"")</formula>
    </cfRule>
  </conditionalFormatting>
  <conditionalFormatting sqref="K258:P258">
    <cfRule type="expression" dxfId="31" priority="57" stopIfTrue="1">
      <formula>AND($A258&lt;&gt;"COMPOSICAO",$A258&lt;&gt;"INSUMO",$A258&lt;&gt;"")</formula>
    </cfRule>
    <cfRule type="expression" dxfId="30" priority="58" stopIfTrue="1">
      <formula>AND(OR($A258="COMPOSICAO",$A258="INSUMO",$A258&lt;&gt;""),$A258&lt;&gt;"")</formula>
    </cfRule>
  </conditionalFormatting>
  <conditionalFormatting sqref="D55:D56">
    <cfRule type="expression" dxfId="29" priority="51" stopIfTrue="1">
      <formula>AND($A240&lt;&gt;"COMPOSICAO",$A240&lt;&gt;"INSUMO",$A240&lt;&gt;"")</formula>
    </cfRule>
    <cfRule type="expression" dxfId="28" priority="52" stopIfTrue="1">
      <formula>AND(OR($A240="COMPOSICAO",$A240="INSUMO",$A240&lt;&gt;""),$A240&lt;&gt;"")</formula>
    </cfRule>
  </conditionalFormatting>
  <conditionalFormatting sqref="D93">
    <cfRule type="expression" dxfId="27" priority="21" stopIfTrue="1">
      <formula>AND($A267&lt;&gt;"COMPOSICAO",$A267&lt;&gt;"INSUMO",$A267&lt;&gt;"")</formula>
    </cfRule>
    <cfRule type="expression" dxfId="26" priority="22" stopIfTrue="1">
      <formula>AND(OR($A267="COMPOSICAO",$A267="INSUMO",$A267&lt;&gt;""),$A267&lt;&gt;"")</formula>
    </cfRule>
  </conditionalFormatting>
  <conditionalFormatting sqref="D91:D92">
    <cfRule type="expression" dxfId="25" priority="23" stopIfTrue="1">
      <formula>AND($A265&lt;&gt;"COMPOSICAO",$A265&lt;&gt;"INSUMO",$A265&lt;&gt;"")</formula>
    </cfRule>
    <cfRule type="expression" dxfId="24" priority="24" stopIfTrue="1">
      <formula>AND(OR($A265="COMPOSICAO",$A265="INSUMO",$A265&lt;&gt;""),$A265&lt;&gt;"")</formula>
    </cfRule>
  </conditionalFormatting>
  <conditionalFormatting sqref="D113">
    <cfRule type="expression" dxfId="23" priority="17" stopIfTrue="1">
      <formula>AND($A400&lt;&gt;"COMPOSICAO",$A400&lt;&gt;"INSUMO",$A400&lt;&gt;"")</formula>
    </cfRule>
    <cfRule type="expression" dxfId="22" priority="18" stopIfTrue="1">
      <formula>AND(OR($A400="COMPOSICAO",$A400="INSUMO",$A400&lt;&gt;""),$A400&lt;&gt;"")</formula>
    </cfRule>
  </conditionalFormatting>
  <conditionalFormatting sqref="D111:D112">
    <cfRule type="expression" dxfId="21" priority="19" stopIfTrue="1">
      <formula>AND($A398&lt;&gt;"COMPOSICAO",$A398&lt;&gt;"INSUMO",$A398&lt;&gt;"")</formula>
    </cfRule>
    <cfRule type="expression" dxfId="20" priority="20" stopIfTrue="1">
      <formula>AND(OR($A398="COMPOSICAO",$A398="INSUMO",$A398&lt;&gt;""),$A398&lt;&gt;"")</formula>
    </cfRule>
  </conditionalFormatting>
  <conditionalFormatting sqref="D73">
    <cfRule type="expression" dxfId="19" priority="97" stopIfTrue="1">
      <formula>AND(#REF!&lt;&gt;"COMPOSICAO",#REF!&lt;&gt;"INSUMO",#REF!&lt;&gt;"")</formula>
    </cfRule>
    <cfRule type="expression" dxfId="18" priority="98" stopIfTrue="1">
      <formula>AND(OR(#REF!="COMPOSICAO",#REF!="INSUMO",#REF!&lt;&gt;""),#REF!&lt;&gt;"")</formula>
    </cfRule>
  </conditionalFormatting>
  <conditionalFormatting sqref="D129">
    <cfRule type="expression" dxfId="17" priority="13" stopIfTrue="1">
      <formula>AND($A416&lt;&gt;"COMPOSICAO",$A416&lt;&gt;"INSUMO",$A416&lt;&gt;"")</formula>
    </cfRule>
    <cfRule type="expression" dxfId="16" priority="14" stopIfTrue="1">
      <formula>AND(OR($A416="COMPOSICAO",$A416="INSUMO",$A416&lt;&gt;""),$A416&lt;&gt;"")</formula>
    </cfRule>
  </conditionalFormatting>
  <conditionalFormatting sqref="D127:D128">
    <cfRule type="expression" dxfId="15" priority="15" stopIfTrue="1">
      <formula>AND($A414&lt;&gt;"COMPOSICAO",$A414&lt;&gt;"INSUMO",$A414&lt;&gt;"")</formula>
    </cfRule>
    <cfRule type="expression" dxfId="14" priority="16" stopIfTrue="1">
      <formula>AND(OR($A414="COMPOSICAO",$A414="INSUMO",$A414&lt;&gt;""),$A414&lt;&gt;"")</formula>
    </cfRule>
  </conditionalFormatting>
  <conditionalFormatting sqref="D145">
    <cfRule type="expression" dxfId="13" priority="9" stopIfTrue="1">
      <formula>AND($A432&lt;&gt;"COMPOSICAO",$A432&lt;&gt;"INSUMO",$A432&lt;&gt;"")</formula>
    </cfRule>
    <cfRule type="expression" dxfId="12" priority="10" stopIfTrue="1">
      <formula>AND(OR($A432="COMPOSICAO",$A432="INSUMO",$A432&lt;&gt;""),$A432&lt;&gt;"")</formula>
    </cfRule>
  </conditionalFormatting>
  <conditionalFormatting sqref="D143:D144">
    <cfRule type="expression" dxfId="11" priority="11" stopIfTrue="1">
      <formula>AND($A430&lt;&gt;"COMPOSICAO",$A430&lt;&gt;"INSUMO",$A430&lt;&gt;"")</formula>
    </cfRule>
    <cfRule type="expression" dxfId="10" priority="12" stopIfTrue="1">
      <formula>AND(OR($A430="COMPOSICAO",$A430="INSUMO",$A430&lt;&gt;""),$A430&lt;&gt;"")</formula>
    </cfRule>
  </conditionalFormatting>
  <conditionalFormatting sqref="D161">
    <cfRule type="expression" dxfId="9" priority="5" stopIfTrue="1">
      <formula>AND($A450&lt;&gt;"COMPOSICAO",$A450&lt;&gt;"INSUMO",$A450&lt;&gt;"")</formula>
    </cfRule>
    <cfRule type="expression" dxfId="8" priority="6" stopIfTrue="1">
      <formula>AND(OR($A450="COMPOSICAO",$A450="INSUMO",$A450&lt;&gt;""),$A450&lt;&gt;"")</formula>
    </cfRule>
  </conditionalFormatting>
  <conditionalFormatting sqref="D159:D160">
    <cfRule type="expression" dxfId="7" priority="7" stopIfTrue="1">
      <formula>AND($A446&lt;&gt;"COMPOSICAO",$A446&lt;&gt;"INSUMO",$A446&lt;&gt;"")</formula>
    </cfRule>
    <cfRule type="expression" dxfId="6" priority="8" stopIfTrue="1">
      <formula>AND(OR($A446="COMPOSICAO",$A446="INSUMO",$A446&lt;&gt;""),$A446&lt;&gt;"")</formula>
    </cfRule>
  </conditionalFormatting>
  <conditionalFormatting sqref="D179">
    <cfRule type="expression" dxfId="5" priority="1" stopIfTrue="1">
      <formula>AND($A466&lt;&gt;"COMPOSICAO",$A466&lt;&gt;"INSUMO",$A466&lt;&gt;"")</formula>
    </cfRule>
    <cfRule type="expression" dxfId="4" priority="2" stopIfTrue="1">
      <formula>AND(OR($A466="COMPOSICAO",$A466="INSUMO",$A466&lt;&gt;""),$A466&lt;&gt;"")</formula>
    </cfRule>
  </conditionalFormatting>
  <conditionalFormatting sqref="D177:D178">
    <cfRule type="expression" dxfId="3" priority="3" stopIfTrue="1">
      <formula>AND($A464&lt;&gt;"COMPOSICAO",$A464&lt;&gt;"INSUMO",$A464&lt;&gt;"")</formula>
    </cfRule>
    <cfRule type="expression" dxfId="2" priority="4" stopIfTrue="1">
      <formula>AND(OR($A464="COMPOSICAO",$A464="INSUMO",$A464&lt;&gt;""),$A464&lt;&gt;"")</formula>
    </cfRule>
  </conditionalFormatting>
  <conditionalFormatting sqref="D74:D75">
    <cfRule type="expression" dxfId="1" priority="101" stopIfTrue="1">
      <formula>AND(#REF!&lt;&gt;"COMPOSICAO",#REF!&lt;&gt;"INSUMO",#REF!&lt;&gt;"")</formula>
    </cfRule>
    <cfRule type="expression" dxfId="0" priority="102" stopIfTrue="1">
      <formula>AND(OR(#REF!="COMPOSICAO",#REF!="INSUMO",#REF!&lt;&gt;""),#REF!&lt;&gt;"")</formula>
    </cfRule>
  </conditionalFormatting>
  <pageMargins left="0.511811024" right="0.511811024" top="0.78740157499999996" bottom="0.78740157499999996" header="0.31496062000000002" footer="0.31496062000000002"/>
  <pageSetup paperSize="9" scale="72" orientation="portrait" r:id="rId1"/>
  <rowBreaks count="4" manualBreakCount="4">
    <brk id="175" min="1" max="6" man="1"/>
    <brk id="214" min="1" max="6" man="1"/>
    <brk id="237" min="1" max="6" man="1"/>
    <brk id="262" min="1"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5" workbookViewId="0">
      <selection activeCell="C6" sqref="C6:K6"/>
    </sheetView>
  </sheetViews>
  <sheetFormatPr defaultRowHeight="15" x14ac:dyDescent="0.25"/>
  <sheetData>
    <row r="1" spans="1:11" s="67" customFormat="1" ht="14.25" x14ac:dyDescent="0.2">
      <c r="A1" s="65"/>
      <c r="B1" s="66"/>
      <c r="C1" s="418" t="s">
        <v>0</v>
      </c>
      <c r="D1" s="418"/>
      <c r="E1" s="418"/>
      <c r="F1" s="418"/>
      <c r="G1" s="418"/>
      <c r="H1" s="418"/>
      <c r="I1" s="418"/>
      <c r="J1" s="418"/>
      <c r="K1" s="419"/>
    </row>
    <row r="2" spans="1:11" s="67" customFormat="1" ht="14.25" x14ac:dyDescent="0.2">
      <c r="A2" s="68"/>
      <c r="B2" s="69"/>
      <c r="C2" s="420" t="s">
        <v>47</v>
      </c>
      <c r="D2" s="420"/>
      <c r="E2" s="420"/>
      <c r="F2" s="420"/>
      <c r="G2" s="420"/>
      <c r="H2" s="420"/>
      <c r="I2" s="420"/>
      <c r="J2" s="420"/>
      <c r="K2" s="421"/>
    </row>
    <row r="3" spans="1:11" s="67" customFormat="1" ht="14.25" x14ac:dyDescent="0.2">
      <c r="A3" s="68"/>
      <c r="B3" s="69"/>
      <c r="C3" s="422" t="str">
        <f>Orçamento!B8</f>
        <v>OBJETO: CONSTRUÇÃO DA UPINHA DE PONTA DE PEDRA</v>
      </c>
      <c r="D3" s="422"/>
      <c r="E3" s="422"/>
      <c r="F3" s="422"/>
      <c r="G3" s="422"/>
      <c r="H3" s="422"/>
      <c r="I3" s="422"/>
      <c r="J3" s="422"/>
      <c r="K3" s="423"/>
    </row>
    <row r="4" spans="1:11" s="67" customFormat="1" ht="14.25" x14ac:dyDescent="0.2">
      <c r="A4" s="68"/>
      <c r="B4" s="69"/>
      <c r="C4" s="422" t="str">
        <f>Orçamento!B9</f>
        <v>LOCAL: PONTA DE PEDRA, GOIANA/PE</v>
      </c>
      <c r="D4" s="422"/>
      <c r="E4" s="422"/>
      <c r="F4" s="422"/>
      <c r="G4" s="422"/>
      <c r="H4" s="422"/>
      <c r="I4" s="422"/>
      <c r="J4" s="422"/>
      <c r="K4" s="423"/>
    </row>
    <row r="5" spans="1:11" s="67" customFormat="1" ht="14.25" x14ac:dyDescent="0.2">
      <c r="A5" s="68"/>
      <c r="B5" s="69"/>
      <c r="C5" s="422" t="str">
        <f>Orçamento!B10</f>
        <v>DATA: NOVEMBRO 2019</v>
      </c>
      <c r="D5" s="422"/>
      <c r="E5" s="422"/>
      <c r="F5" s="422"/>
      <c r="G5" s="422"/>
      <c r="H5" s="422"/>
      <c r="I5" s="422"/>
      <c r="J5" s="422"/>
      <c r="K5" s="423"/>
    </row>
    <row r="6" spans="1:11" x14ac:dyDescent="0.25">
      <c r="A6" s="70"/>
      <c r="B6" s="71"/>
      <c r="C6" s="416"/>
      <c r="D6" s="416"/>
      <c r="E6" s="416"/>
      <c r="F6" s="416"/>
      <c r="G6" s="416"/>
      <c r="H6" s="416"/>
      <c r="I6" s="416"/>
      <c r="J6" s="416"/>
      <c r="K6" s="417"/>
    </row>
    <row r="7" spans="1:11" x14ac:dyDescent="0.25">
      <c r="A7" s="29"/>
      <c r="B7" s="72"/>
      <c r="C7" s="72"/>
      <c r="D7" s="72"/>
      <c r="E7" s="72"/>
      <c r="F7" s="72"/>
      <c r="G7" s="72"/>
      <c r="H7" s="72"/>
      <c r="I7" s="72"/>
      <c r="J7" s="72"/>
      <c r="K7" s="73"/>
    </row>
    <row r="8" spans="1:11" x14ac:dyDescent="0.25">
      <c r="A8" s="26"/>
      <c r="B8" s="31"/>
      <c r="C8" s="31"/>
      <c r="D8" s="31"/>
      <c r="E8" s="31"/>
      <c r="F8" s="31"/>
      <c r="G8" s="31"/>
      <c r="H8" s="31"/>
      <c r="I8" s="31"/>
      <c r="J8" s="31"/>
      <c r="K8" s="74"/>
    </row>
    <row r="9" spans="1:11" x14ac:dyDescent="0.25">
      <c r="A9" s="26"/>
      <c r="B9" s="31"/>
      <c r="C9" s="31"/>
      <c r="D9" s="31"/>
      <c r="E9" s="31"/>
      <c r="F9" s="31"/>
      <c r="G9" s="31"/>
      <c r="H9" s="31"/>
      <c r="I9" s="31"/>
      <c r="J9" s="31"/>
      <c r="K9" s="74"/>
    </row>
    <row r="10" spans="1:11" x14ac:dyDescent="0.25">
      <c r="A10" s="26"/>
      <c r="B10" s="31"/>
      <c r="C10" s="31"/>
      <c r="D10" s="31"/>
      <c r="E10" s="31"/>
      <c r="F10" s="31"/>
      <c r="G10" s="31"/>
      <c r="H10" s="31"/>
      <c r="I10" s="31"/>
      <c r="J10" s="31"/>
      <c r="K10" s="74"/>
    </row>
    <row r="11" spans="1:11" x14ac:dyDescent="0.25">
      <c r="A11" s="26"/>
      <c r="B11" s="31"/>
      <c r="C11" s="31"/>
      <c r="D11" s="31"/>
      <c r="E11" s="31"/>
      <c r="F11" s="31"/>
      <c r="G11" s="31"/>
      <c r="H11" s="31"/>
      <c r="I11" s="31"/>
      <c r="J11" s="31"/>
      <c r="K11" s="74"/>
    </row>
    <row r="12" spans="1:11" x14ac:dyDescent="0.25">
      <c r="A12" s="26"/>
      <c r="B12" s="31"/>
      <c r="C12" s="31"/>
      <c r="D12" s="31"/>
      <c r="E12" s="31"/>
      <c r="F12" s="31"/>
      <c r="G12" s="31"/>
      <c r="H12" s="31"/>
      <c r="I12" s="31"/>
      <c r="J12" s="31"/>
      <c r="K12" s="74"/>
    </row>
    <row r="13" spans="1:11" x14ac:dyDescent="0.25">
      <c r="A13" s="26"/>
      <c r="B13" s="31"/>
      <c r="C13" s="31"/>
      <c r="D13" s="31"/>
      <c r="E13" s="31"/>
      <c r="F13" s="31"/>
      <c r="G13" s="31"/>
      <c r="H13" s="31"/>
      <c r="I13" s="31"/>
      <c r="J13" s="31"/>
      <c r="K13" s="74"/>
    </row>
    <row r="14" spans="1:11" x14ac:dyDescent="0.25">
      <c r="A14" s="26"/>
      <c r="B14" s="31"/>
      <c r="C14" s="31"/>
      <c r="D14" s="31"/>
      <c r="E14" s="31"/>
      <c r="F14" s="31"/>
      <c r="G14" s="31"/>
      <c r="H14" s="31"/>
      <c r="I14" s="31"/>
      <c r="J14" s="31"/>
      <c r="K14" s="74"/>
    </row>
    <row r="15" spans="1:11" x14ac:dyDescent="0.25">
      <c r="A15" s="26"/>
      <c r="B15" s="31"/>
      <c r="C15" s="31"/>
      <c r="D15" s="31"/>
      <c r="E15" s="31"/>
      <c r="F15" s="31"/>
      <c r="G15" s="31"/>
      <c r="H15" s="31"/>
      <c r="I15" s="31"/>
      <c r="J15" s="31"/>
      <c r="K15" s="74"/>
    </row>
    <row r="16" spans="1:11" x14ac:dyDescent="0.25">
      <c r="A16" s="26"/>
      <c r="B16" s="31"/>
      <c r="C16" s="31"/>
      <c r="D16" s="31"/>
      <c r="E16" s="31"/>
      <c r="F16" s="31"/>
      <c r="G16" s="31"/>
      <c r="H16" s="31"/>
      <c r="I16" s="31"/>
      <c r="J16" s="31"/>
      <c r="K16" s="74"/>
    </row>
    <row r="17" spans="1:11" x14ac:dyDescent="0.25">
      <c r="A17" s="26"/>
      <c r="B17" s="31"/>
      <c r="C17" s="31"/>
      <c r="D17" s="31"/>
      <c r="E17" s="31"/>
      <c r="F17" s="31"/>
      <c r="G17" s="31"/>
      <c r="H17" s="31"/>
      <c r="I17" s="31"/>
      <c r="J17" s="31"/>
      <c r="K17" s="74"/>
    </row>
    <row r="18" spans="1:11" x14ac:dyDescent="0.25">
      <c r="A18" s="26"/>
      <c r="B18" s="31"/>
      <c r="C18" s="31"/>
      <c r="D18" s="31"/>
      <c r="E18" s="31"/>
      <c r="F18" s="31"/>
      <c r="G18" s="31"/>
      <c r="H18" s="31"/>
      <c r="I18" s="31"/>
      <c r="J18" s="31"/>
      <c r="K18" s="74"/>
    </row>
    <row r="19" spans="1:11" x14ac:dyDescent="0.25">
      <c r="A19" s="26"/>
      <c r="B19" s="31"/>
      <c r="C19" s="31"/>
      <c r="D19" s="31"/>
      <c r="E19" s="31"/>
      <c r="F19" s="31"/>
      <c r="G19" s="31"/>
      <c r="H19" s="31"/>
      <c r="I19" s="31"/>
      <c r="J19" s="31"/>
      <c r="K19" s="74"/>
    </row>
    <row r="20" spans="1:11" x14ac:dyDescent="0.25">
      <c r="A20" s="26"/>
      <c r="B20" s="31"/>
      <c r="C20" s="31"/>
      <c r="D20" s="31"/>
      <c r="E20" s="31"/>
      <c r="F20" s="31"/>
      <c r="G20" s="31"/>
      <c r="H20" s="31"/>
      <c r="I20" s="31"/>
      <c r="J20" s="31"/>
      <c r="K20" s="74"/>
    </row>
    <row r="21" spans="1:11" x14ac:dyDescent="0.25">
      <c r="A21" s="26"/>
      <c r="B21" s="31"/>
      <c r="C21" s="31"/>
      <c r="D21" s="31"/>
      <c r="E21" s="31"/>
      <c r="F21" s="31"/>
      <c r="G21" s="31"/>
      <c r="H21" s="31"/>
      <c r="I21" s="31"/>
      <c r="J21" s="31"/>
      <c r="K21" s="74"/>
    </row>
    <row r="22" spans="1:11" x14ac:dyDescent="0.25">
      <c r="A22" s="26"/>
      <c r="B22" s="31"/>
      <c r="C22" s="31"/>
      <c r="D22" s="31"/>
      <c r="E22" s="31"/>
      <c r="F22" s="31"/>
      <c r="G22" s="31"/>
      <c r="H22" s="31"/>
      <c r="I22" s="31"/>
      <c r="J22" s="31"/>
      <c r="K22" s="74"/>
    </row>
    <row r="23" spans="1:11" x14ac:dyDescent="0.25">
      <c r="A23" s="26"/>
      <c r="B23" s="31"/>
      <c r="C23" s="31"/>
      <c r="D23" s="31"/>
      <c r="E23" s="31"/>
      <c r="F23" s="31"/>
      <c r="G23" s="31"/>
      <c r="H23" s="31"/>
      <c r="I23" s="31"/>
      <c r="J23" s="31"/>
      <c r="K23" s="74"/>
    </row>
    <row r="24" spans="1:11" x14ac:dyDescent="0.25">
      <c r="A24" s="26"/>
      <c r="B24" s="31"/>
      <c r="C24" s="31"/>
      <c r="D24" s="31"/>
      <c r="E24" s="31"/>
      <c r="F24" s="31"/>
      <c r="G24" s="31"/>
      <c r="H24" s="31"/>
      <c r="I24" s="31"/>
      <c r="J24" s="31"/>
      <c r="K24" s="74"/>
    </row>
    <row r="25" spans="1:11" x14ac:dyDescent="0.25">
      <c r="A25" s="26"/>
      <c r="B25" s="31"/>
      <c r="C25" s="31"/>
      <c r="D25" s="31"/>
      <c r="E25" s="31"/>
      <c r="F25" s="31"/>
      <c r="G25" s="31"/>
      <c r="H25" s="31"/>
      <c r="I25" s="31"/>
      <c r="J25" s="31"/>
      <c r="K25" s="74"/>
    </row>
    <row r="26" spans="1:11" x14ac:dyDescent="0.25">
      <c r="A26" s="26"/>
      <c r="B26" s="31"/>
      <c r="C26" s="31"/>
      <c r="D26" s="31"/>
      <c r="E26" s="31"/>
      <c r="F26" s="31"/>
      <c r="G26" s="31"/>
      <c r="H26" s="31"/>
      <c r="I26" s="31"/>
      <c r="J26" s="31"/>
      <c r="K26" s="74"/>
    </row>
    <row r="27" spans="1:11" x14ac:dyDescent="0.25">
      <c r="A27" s="26"/>
      <c r="B27" s="31"/>
      <c r="C27" s="31"/>
      <c r="D27" s="31"/>
      <c r="E27" s="31"/>
      <c r="F27" s="31"/>
      <c r="G27" s="31"/>
      <c r="H27" s="31"/>
      <c r="I27" s="31"/>
      <c r="J27" s="31"/>
      <c r="K27" s="74"/>
    </row>
    <row r="28" spans="1:11" x14ac:dyDescent="0.25">
      <c r="A28" s="26"/>
      <c r="B28" s="31"/>
      <c r="C28" s="31"/>
      <c r="D28" s="31"/>
      <c r="E28" s="31"/>
      <c r="F28" s="31"/>
      <c r="G28" s="31"/>
      <c r="H28" s="31"/>
      <c r="I28" s="31"/>
      <c r="J28" s="31"/>
      <c r="K28" s="74"/>
    </row>
    <row r="29" spans="1:11" x14ac:dyDescent="0.25">
      <c r="A29" s="26"/>
      <c r="B29" s="31"/>
      <c r="C29" s="31"/>
      <c r="D29" s="31"/>
      <c r="E29" s="31"/>
      <c r="F29" s="31"/>
      <c r="G29" s="31"/>
      <c r="H29" s="31"/>
      <c r="I29" s="31"/>
      <c r="J29" s="31"/>
      <c r="K29" s="74"/>
    </row>
    <row r="30" spans="1:11" x14ac:dyDescent="0.25">
      <c r="A30" s="26"/>
      <c r="B30" s="31"/>
      <c r="C30" s="31"/>
      <c r="D30" s="31"/>
      <c r="E30" s="31"/>
      <c r="F30" s="31"/>
      <c r="G30" s="31"/>
      <c r="H30" s="31"/>
      <c r="I30" s="31"/>
      <c r="J30" s="31"/>
      <c r="K30" s="74"/>
    </row>
    <row r="31" spans="1:11" x14ac:dyDescent="0.25">
      <c r="A31" s="26"/>
      <c r="B31" s="31"/>
      <c r="C31" s="31"/>
      <c r="D31" s="31"/>
      <c r="E31" s="31"/>
      <c r="F31" s="31"/>
      <c r="G31" s="31"/>
      <c r="H31" s="31"/>
      <c r="I31" s="31"/>
      <c r="J31" s="31"/>
      <c r="K31" s="74"/>
    </row>
    <row r="32" spans="1:11" x14ac:dyDescent="0.25">
      <c r="A32" s="29"/>
      <c r="B32" s="72"/>
      <c r="C32" s="72"/>
      <c r="D32" s="72"/>
      <c r="E32" s="72"/>
      <c r="F32" s="72"/>
      <c r="G32" s="72"/>
      <c r="H32" s="72"/>
      <c r="I32" s="72"/>
      <c r="J32" s="72"/>
      <c r="K32" s="73"/>
    </row>
  </sheetData>
  <mergeCells count="6">
    <mergeCell ref="C6:K6"/>
    <mergeCell ref="C1:K1"/>
    <mergeCell ref="C2:K2"/>
    <mergeCell ref="C3:K3"/>
    <mergeCell ref="C4:K4"/>
    <mergeCell ref="C5:K5"/>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7"/>
  <sheetViews>
    <sheetView tabSelected="1" view="pageBreakPreview" topLeftCell="A3" zoomScale="90" zoomScaleNormal="85" zoomScaleSheetLayoutView="90" workbookViewId="0">
      <selection activeCell="F17" sqref="F17:F24"/>
    </sheetView>
  </sheetViews>
  <sheetFormatPr defaultRowHeight="15" x14ac:dyDescent="0.25"/>
  <cols>
    <col min="2" max="2" width="5.7109375" customWidth="1"/>
    <col min="3" max="3" width="13.5703125" customWidth="1"/>
    <col min="4" max="4" width="36" customWidth="1"/>
    <col min="5" max="6" width="8.7109375" customWidth="1"/>
    <col min="7" max="7" width="20.7109375" bestFit="1" customWidth="1"/>
    <col min="10" max="10" width="11.42578125" customWidth="1"/>
    <col min="15" max="15" width="10.42578125" bestFit="1" customWidth="1"/>
  </cols>
  <sheetData>
    <row r="1" spans="2:14" ht="15.75" thickBot="1" x14ac:dyDescent="0.3"/>
    <row r="2" spans="2:14" x14ac:dyDescent="0.25">
      <c r="B2" s="134"/>
      <c r="C2" s="135"/>
      <c r="D2" s="430" t="s">
        <v>0</v>
      </c>
      <c r="E2" s="430"/>
      <c r="F2" s="430"/>
      <c r="G2" s="430"/>
      <c r="H2" s="430"/>
      <c r="I2" s="430"/>
      <c r="J2" s="431"/>
      <c r="N2" s="244"/>
    </row>
    <row r="3" spans="2:14" x14ac:dyDescent="0.25">
      <c r="B3" s="136"/>
      <c r="C3" s="69"/>
      <c r="D3" s="420" t="s">
        <v>47</v>
      </c>
      <c r="E3" s="420"/>
      <c r="F3" s="420"/>
      <c r="G3" s="420"/>
      <c r="H3" s="420"/>
      <c r="I3" s="420"/>
      <c r="J3" s="432"/>
      <c r="M3" s="244"/>
      <c r="N3" s="244"/>
    </row>
    <row r="4" spans="2:14" x14ac:dyDescent="0.25">
      <c r="B4" s="136"/>
      <c r="C4" s="69"/>
      <c r="D4" s="422" t="str">
        <f>Orçamento!B8</f>
        <v>OBJETO: CONSTRUÇÃO DA UPINHA DE PONTA DE PEDRA</v>
      </c>
      <c r="E4" s="422"/>
      <c r="F4" s="422"/>
      <c r="G4" s="422"/>
      <c r="H4" s="422"/>
      <c r="I4" s="422"/>
      <c r="J4" s="433"/>
      <c r="M4" s="244"/>
      <c r="N4" s="244"/>
    </row>
    <row r="5" spans="2:14" x14ac:dyDescent="0.25">
      <c r="B5" s="136"/>
      <c r="C5" s="69"/>
      <c r="D5" s="422" t="str">
        <f>Orçamento!B9</f>
        <v>LOCAL: PONTA DE PEDRA, GOIANA/PE</v>
      </c>
      <c r="E5" s="422"/>
      <c r="F5" s="422"/>
      <c r="G5" s="422"/>
      <c r="H5" s="422"/>
      <c r="I5" s="422"/>
      <c r="J5" s="433"/>
      <c r="M5" s="244"/>
      <c r="N5" s="244"/>
    </row>
    <row r="6" spans="2:14" x14ac:dyDescent="0.25">
      <c r="B6" s="136"/>
      <c r="C6" s="69"/>
      <c r="D6" s="422" t="str">
        <f>Orçamento!B10</f>
        <v>DATA: NOVEMBRO 2019</v>
      </c>
      <c r="E6" s="422"/>
      <c r="F6" s="422"/>
      <c r="G6" s="422"/>
      <c r="H6" s="422"/>
      <c r="I6" s="422"/>
      <c r="J6" s="433"/>
      <c r="M6" s="244"/>
      <c r="N6" s="244"/>
    </row>
    <row r="7" spans="2:14" ht="15.75" thickBot="1" x14ac:dyDescent="0.3">
      <c r="B7" s="136"/>
      <c r="C7" s="69"/>
      <c r="D7" s="434"/>
      <c r="E7" s="434"/>
      <c r="F7" s="434"/>
      <c r="G7" s="434"/>
      <c r="H7" s="434"/>
      <c r="I7" s="434"/>
      <c r="J7" s="435"/>
      <c r="M7" s="244"/>
      <c r="N7" s="244"/>
    </row>
    <row r="8" spans="2:14" x14ac:dyDescent="0.25">
      <c r="B8" s="427" t="s">
        <v>75</v>
      </c>
      <c r="C8" s="428"/>
      <c r="D8" s="428"/>
      <c r="E8" s="428"/>
      <c r="F8" s="428"/>
      <c r="G8" s="428"/>
      <c r="H8" s="428"/>
      <c r="I8" s="428"/>
      <c r="J8" s="429"/>
      <c r="M8" s="244"/>
      <c r="N8" s="244"/>
    </row>
    <row r="9" spans="2:14" ht="22.5" x14ac:dyDescent="0.25">
      <c r="B9" s="75" t="s">
        <v>3</v>
      </c>
      <c r="C9" s="76" t="s">
        <v>76</v>
      </c>
      <c r="D9" s="76" t="s">
        <v>4</v>
      </c>
      <c r="E9" s="76" t="s">
        <v>50</v>
      </c>
      <c r="F9" s="76" t="s">
        <v>95</v>
      </c>
      <c r="G9" s="207" t="s">
        <v>185</v>
      </c>
      <c r="H9" s="207" t="s">
        <v>186</v>
      </c>
      <c r="I9" s="208" t="s">
        <v>187</v>
      </c>
      <c r="J9" s="77" t="s">
        <v>7</v>
      </c>
      <c r="M9" s="244"/>
      <c r="N9" s="244"/>
    </row>
    <row r="10" spans="2:14" x14ac:dyDescent="0.25">
      <c r="B10" s="209" t="s">
        <v>43</v>
      </c>
      <c r="C10" s="158"/>
      <c r="D10" s="158" t="s">
        <v>107</v>
      </c>
      <c r="E10" s="210"/>
      <c r="F10" s="160"/>
      <c r="G10" s="211"/>
      <c r="H10" s="211"/>
      <c r="I10" s="211"/>
      <c r="J10" s="78"/>
      <c r="M10" s="244"/>
      <c r="N10" s="244"/>
    </row>
    <row r="11" spans="2:14" ht="25.5" x14ac:dyDescent="0.25">
      <c r="B11" s="212" t="s">
        <v>44</v>
      </c>
      <c r="C11" s="17" t="str">
        <f>Orçamento!C16</f>
        <v>SINAPI/19   90777</v>
      </c>
      <c r="D11" s="17" t="str">
        <f>Orçamento!D16</f>
        <v>ENGENHEIRO CIVIL DE OBRA JUNIOR COM ENCARGOS COMPLEMENTARES</v>
      </c>
      <c r="E11" s="17" t="str">
        <f>Orçamento!E16</f>
        <v>H</v>
      </c>
      <c r="F11" s="436">
        <v>960</v>
      </c>
      <c r="G11" s="213">
        <v>20</v>
      </c>
      <c r="H11" s="214">
        <v>6</v>
      </c>
      <c r="I11" s="214">
        <v>8</v>
      </c>
      <c r="J11" s="215">
        <f>Orçamento!F16</f>
        <v>960</v>
      </c>
      <c r="M11" s="244"/>
      <c r="N11" s="244"/>
    </row>
    <row r="12" spans="2:14" ht="25.5" x14ac:dyDescent="0.25">
      <c r="B12" s="216" t="s">
        <v>45</v>
      </c>
      <c r="C12" s="17" t="str">
        <f>Orçamento!C17</f>
        <v>SINAPI/19    90776</v>
      </c>
      <c r="D12" s="17" t="str">
        <f>Orçamento!D17</f>
        <v>ENCARREGADO GERAL COM ENCARGOS COMPLEMENTARES</v>
      </c>
      <c r="E12" s="17" t="str">
        <f>Orçamento!E17</f>
        <v>H</v>
      </c>
      <c r="F12" s="436">
        <v>960</v>
      </c>
      <c r="G12" s="217">
        <v>20</v>
      </c>
      <c r="H12" s="218">
        <v>6</v>
      </c>
      <c r="I12" s="218">
        <v>8</v>
      </c>
      <c r="J12" s="215">
        <f>Orçamento!F17</f>
        <v>960</v>
      </c>
      <c r="M12" s="244"/>
      <c r="N12" s="244"/>
    </row>
    <row r="13" spans="2:14" s="244" customFormat="1" ht="25.5" x14ac:dyDescent="0.25">
      <c r="B13" s="216" t="s">
        <v>374</v>
      </c>
      <c r="C13" s="17" t="str">
        <f>Orçamento!C18</f>
        <v>SINAPI/19    88326</v>
      </c>
      <c r="D13" s="17" t="str">
        <f>Orçamento!D18</f>
        <v>VIGIA NOTURNO COM ENCARGOS COMPLEMENTARES</v>
      </c>
      <c r="E13" s="17" t="str">
        <f>Orçamento!E18</f>
        <v>H</v>
      </c>
      <c r="F13" s="436">
        <v>960</v>
      </c>
      <c r="G13" s="217">
        <v>20</v>
      </c>
      <c r="H13" s="218">
        <v>6</v>
      </c>
      <c r="I13" s="218">
        <v>8</v>
      </c>
      <c r="J13" s="215">
        <f>Orçamento!F18</f>
        <v>960</v>
      </c>
    </row>
    <row r="14" spans="2:14" s="244" customFormat="1" x14ac:dyDescent="0.25">
      <c r="B14" s="424"/>
      <c r="C14" s="425"/>
      <c r="D14" s="425"/>
      <c r="E14" s="425"/>
      <c r="F14" s="425"/>
      <c r="G14" s="425"/>
      <c r="H14" s="425"/>
      <c r="I14" s="425"/>
      <c r="J14" s="426"/>
    </row>
    <row r="15" spans="2:14" x14ac:dyDescent="0.25">
      <c r="B15" s="219" t="s">
        <v>3</v>
      </c>
      <c r="C15" s="106"/>
      <c r="D15" s="106"/>
      <c r="E15" s="107"/>
      <c r="F15" s="108"/>
      <c r="G15" s="207" t="s">
        <v>77</v>
      </c>
      <c r="H15" s="207" t="s">
        <v>78</v>
      </c>
      <c r="I15" s="207" t="s">
        <v>79</v>
      </c>
      <c r="J15" s="77" t="s">
        <v>7</v>
      </c>
      <c r="M15" s="244"/>
      <c r="N15" s="244"/>
    </row>
    <row r="16" spans="2:14" ht="21" customHeight="1" x14ac:dyDescent="0.25">
      <c r="B16" s="163" t="s">
        <v>12</v>
      </c>
      <c r="C16" s="164"/>
      <c r="D16" s="165" t="s">
        <v>8</v>
      </c>
      <c r="E16" s="1" t="s">
        <v>9</v>
      </c>
      <c r="F16" s="166"/>
      <c r="G16" s="220"/>
      <c r="H16" s="220"/>
      <c r="I16" s="220"/>
      <c r="J16" s="221"/>
      <c r="M16" s="244"/>
      <c r="N16" s="244"/>
    </row>
    <row r="17" spans="2:16" ht="25.5" x14ac:dyDescent="0.25">
      <c r="B17" s="115" t="str">
        <f>Orçamento!B20</f>
        <v>2.1</v>
      </c>
      <c r="C17" s="2" t="str">
        <f>Orçamento!C20</f>
        <v>SINAPI/19 74209/001</v>
      </c>
      <c r="D17" s="2" t="str">
        <f>Orçamento!D20</f>
        <v>PLACA DE OBRA EM CHAPA DE ACO GALVANIZADO</v>
      </c>
      <c r="E17" s="2" t="str">
        <f>Orçamento!E20</f>
        <v>M2</v>
      </c>
      <c r="F17" s="329">
        <f>J17</f>
        <v>6</v>
      </c>
      <c r="G17" s="228">
        <v>3</v>
      </c>
      <c r="H17" s="228">
        <v>2</v>
      </c>
      <c r="I17" s="228"/>
      <c r="J17" s="229">
        <f>Orçamento!F20</f>
        <v>6</v>
      </c>
      <c r="M17" s="244"/>
      <c r="N17" s="244"/>
    </row>
    <row r="18" spans="2:16" ht="25.5" x14ac:dyDescent="0.25">
      <c r="B18" s="115" t="str">
        <f>Orçamento!B21</f>
        <v>2.2</v>
      </c>
      <c r="C18" s="2" t="str">
        <f>Orçamento!C21</f>
        <v>SINAPI/19 73859/002</v>
      </c>
      <c r="D18" s="2" t="str">
        <f>Orçamento!D21</f>
        <v>CAPINA E LIMPEZA MANUAL DE TERRENO</v>
      </c>
      <c r="E18" s="2" t="str">
        <f>Orçamento!E21</f>
        <v>M2</v>
      </c>
      <c r="F18" s="329">
        <f t="shared" ref="F18:F24" si="0">J18</f>
        <v>2281.1799999999998</v>
      </c>
      <c r="G18" s="228">
        <v>35.56</v>
      </c>
      <c r="H18" s="228">
        <f>J18/G18</f>
        <v>64.150168728908881</v>
      </c>
      <c r="I18" s="228"/>
      <c r="J18" s="229">
        <f>Orçamento!F21</f>
        <v>2281.1799999999998</v>
      </c>
      <c r="M18" s="244"/>
      <c r="N18" s="244"/>
    </row>
    <row r="19" spans="2:16" ht="45" customHeight="1" x14ac:dyDescent="0.25">
      <c r="B19" s="115" t="str">
        <f>Orçamento!B22</f>
        <v>2.3</v>
      </c>
      <c r="C19" s="2" t="str">
        <f>Orçamento!C22</f>
        <v>EMLURB -18   03.03.040</v>
      </c>
      <c r="D19" s="2" t="str">
        <f>Orçamento!D22</f>
        <v>FORNECIMENTO E ASSENTAMENTO DE TAPUME EM CHAPAS</v>
      </c>
      <c r="E19" s="2" t="str">
        <f>Orçamento!E22</f>
        <v>M2</v>
      </c>
      <c r="F19" s="329">
        <f t="shared" si="0"/>
        <v>372.12</v>
      </c>
      <c r="G19" s="228">
        <f>J19/I19</f>
        <v>124.04</v>
      </c>
      <c r="H19" s="228"/>
      <c r="I19" s="228">
        <v>3</v>
      </c>
      <c r="J19" s="229">
        <f>Orçamento!F22</f>
        <v>372.12</v>
      </c>
      <c r="M19" s="244"/>
      <c r="N19" s="244"/>
    </row>
    <row r="20" spans="2:16" ht="76.5" x14ac:dyDescent="0.25">
      <c r="B20" s="115" t="str">
        <f>Orçamento!B23</f>
        <v>2.4</v>
      </c>
      <c r="C20" s="2" t="str">
        <f>Orçamento!C23</f>
        <v>EMLURB -18   02.01.200</v>
      </c>
      <c r="D20" s="2" t="str">
        <f>Orçamento!D23</f>
        <v>SERVICO TOPOGRAFICO DE PEQUENO PORTE ( PRECO
MINIMO ),DIARIA DE UMA EQUIPE COM TOPOGRAFO, QUATRO AUXILIARES , TEODOLITO , NIVEL OTICO ETC.</v>
      </c>
      <c r="E20" s="2" t="str">
        <f>Orçamento!E23</f>
        <v>UNID</v>
      </c>
      <c r="F20" s="329">
        <f t="shared" si="0"/>
        <v>1</v>
      </c>
      <c r="G20" s="228"/>
      <c r="H20" s="228"/>
      <c r="I20" s="228"/>
      <c r="J20" s="229">
        <f>Orçamento!F23</f>
        <v>1</v>
      </c>
      <c r="M20" s="244"/>
      <c r="N20" s="244"/>
    </row>
    <row r="21" spans="2:16" ht="63.75" x14ac:dyDescent="0.25">
      <c r="B21" s="115" t="str">
        <f>Orçamento!B24</f>
        <v>2.5</v>
      </c>
      <c r="C21" s="2" t="str">
        <f>Orçamento!C24</f>
        <v>COMPOSIÇÃO 1</v>
      </c>
      <c r="D21" s="2" t="str">
        <f>Orçamento!D24</f>
        <v>BARRACAO PARA DEPOSITO EM TABUAS DE MADEIRA, COBERTURA FIBROCIMENTO 4 MM, INCLUSO PISO ARGAMASSA TRAÇO 1:6 (CIMENTO E AREIA)</v>
      </c>
      <c r="E21" s="2" t="str">
        <f>Orçamento!E24</f>
        <v>M2</v>
      </c>
      <c r="F21" s="329">
        <f t="shared" si="0"/>
        <v>30</v>
      </c>
      <c r="G21" s="228">
        <v>6</v>
      </c>
      <c r="H21" s="228">
        <f>J21/G21</f>
        <v>5</v>
      </c>
      <c r="I21" s="228"/>
      <c r="J21" s="229">
        <f>Orçamento!F24</f>
        <v>30</v>
      </c>
      <c r="M21" s="244"/>
      <c r="N21" s="244"/>
    </row>
    <row r="22" spans="2:16" ht="89.25" x14ac:dyDescent="0.25">
      <c r="B22" s="115" t="str">
        <f>Orçamento!B25</f>
        <v>2.6</v>
      </c>
      <c r="C22" s="2" t="str">
        <f>Orçamento!C25</f>
        <v>COMPOSIÇÃO 1</v>
      </c>
      <c r="D22" s="2" t="str">
        <f>Orçamento!D25</f>
        <v>BARRACAO DE OBRA PARA ALOJAMENTO/ESCRITÓRIO, PISO EM PINHO 3A, PAREDES EM COMPENSADO 10MM, COBERTURA EM FIBROCIMENTO 4MM, INCLUSO INSTALAÇÕES ELÉTRICAS E ESQUADRIAS.</v>
      </c>
      <c r="E22" s="2" t="str">
        <f>Orçamento!E25</f>
        <v>M2</v>
      </c>
      <c r="F22" s="329">
        <f t="shared" si="0"/>
        <v>30</v>
      </c>
      <c r="G22" s="228">
        <v>7</v>
      </c>
      <c r="H22" s="228">
        <f>J22/G22</f>
        <v>4.2857142857142856</v>
      </c>
      <c r="I22" s="228"/>
      <c r="J22" s="229">
        <f>Orçamento!F25</f>
        <v>30</v>
      </c>
      <c r="M22" s="244"/>
      <c r="N22" s="244"/>
    </row>
    <row r="23" spans="2:16" ht="54" customHeight="1" x14ac:dyDescent="0.25">
      <c r="B23" s="115" t="str">
        <f>Orçamento!B26</f>
        <v>2.6</v>
      </c>
      <c r="C23" s="2" t="str">
        <f>Orçamento!C26</f>
        <v>SINAPI/19   72900</v>
      </c>
      <c r="D23" s="2" t="str">
        <f>Orçamento!D26</f>
        <v>TRANSPORTE DE ENTULHO COM CAMINHAO BASCULANTE 6 M3, RODOVIA PAVIMENTADA, DMT 0,5 A 1,0 KM</v>
      </c>
      <c r="E23" s="2" t="str">
        <f>Orçamento!E26</f>
        <v>M3</v>
      </c>
      <c r="F23" s="329">
        <f t="shared" si="0"/>
        <v>6</v>
      </c>
      <c r="G23" s="228">
        <v>8.44</v>
      </c>
      <c r="H23" s="228">
        <f>J23/(G23*0.2)</f>
        <v>3.5545023696682465</v>
      </c>
      <c r="I23" s="228">
        <v>0.2</v>
      </c>
      <c r="J23" s="229">
        <f>Orçamento!F26</f>
        <v>6</v>
      </c>
      <c r="M23" s="244"/>
      <c r="N23" s="244"/>
    </row>
    <row r="24" spans="2:16" ht="47.25" customHeight="1" x14ac:dyDescent="0.25">
      <c r="B24" s="115" t="str">
        <f>Orçamento!B27</f>
        <v>2.7</v>
      </c>
      <c r="C24" s="2" t="str">
        <f>Orçamento!C27</f>
        <v xml:space="preserve">EMLURB -18  04.03.039 </v>
      </c>
      <c r="D24" s="2" t="str">
        <f>Orçamento!D27</f>
        <v xml:space="preserve">REMOCAO DE MATERIAL DE PRIMEIRA CATEGORIA EM CAMINHAO BASCULANTE, D.M.T. 2 KM, INCLUSIVE CARGA MANUAL E DESCARGA MECANICA. </v>
      </c>
      <c r="E24" s="2" t="str">
        <f>Orçamento!E27</f>
        <v>M3</v>
      </c>
      <c r="F24" s="329">
        <f t="shared" si="0"/>
        <v>6</v>
      </c>
      <c r="G24" s="228">
        <v>8.44</v>
      </c>
      <c r="H24" s="228">
        <v>3.55</v>
      </c>
      <c r="I24" s="228">
        <v>0.2</v>
      </c>
      <c r="J24" s="229">
        <f>Orçamento!F27</f>
        <v>6</v>
      </c>
      <c r="M24" s="244"/>
      <c r="N24" s="244"/>
    </row>
    <row r="25" spans="2:16" x14ac:dyDescent="0.25">
      <c r="B25" s="222" t="str">
        <f>Orçamento!B28</f>
        <v>3.0</v>
      </c>
      <c r="C25" s="140"/>
      <c r="D25" s="140" t="str">
        <f>Orçamento!D28</f>
        <v>ALVENARIA E FUNDAÇÕES</v>
      </c>
      <c r="E25" s="223" t="str">
        <f>Orçamento!E28</f>
        <v/>
      </c>
      <c r="F25" s="224"/>
      <c r="G25" s="225"/>
      <c r="H25" s="225"/>
      <c r="I25" s="225"/>
      <c r="J25" s="226"/>
      <c r="M25" s="244"/>
      <c r="N25" s="244"/>
    </row>
    <row r="26" spans="2:16" ht="102" x14ac:dyDescent="0.25">
      <c r="B26" s="115" t="str">
        <f>Orçamento!B29</f>
        <v>3.1</v>
      </c>
      <c r="C26" s="2" t="str">
        <f>Orçamento!C29</f>
        <v xml:space="preserve">SINAPI/19    89168 </v>
      </c>
      <c r="D26" s="2" t="str">
        <f>Orçamento!D29</f>
        <v>(COMPOSIÇÃO REPRESENTATIVA) DO SERVIÇO DE ALVENARIA DE VEDAÇÃO DE BLOCOS VAZADOS DE CERÂMICA DE 9X19X19CM (ESPESSURA 9CM), PARA EDIFICAÇÃO HABITACIONAL UNIFAMILIAR (CASA) E EDIFICAÇÃO PÚBLICA PADRÃO. AF_11/2014</v>
      </c>
      <c r="E26" s="2" t="str">
        <f>Orçamento!E29</f>
        <v>M2</v>
      </c>
      <c r="F26" s="329">
        <f>J26</f>
        <v>2066.48</v>
      </c>
      <c r="G26" s="228">
        <f>J26/I26</f>
        <v>688.82666666666671</v>
      </c>
      <c r="H26" s="228"/>
      <c r="I26" s="228">
        <v>3</v>
      </c>
      <c r="J26" s="229">
        <v>2066.48</v>
      </c>
      <c r="M26" s="244"/>
      <c r="N26" s="244"/>
    </row>
    <row r="27" spans="2:16" ht="51" x14ac:dyDescent="0.25">
      <c r="B27" s="115" t="str">
        <f>Orçamento!B30</f>
        <v>3.2</v>
      </c>
      <c r="C27" s="2" t="str">
        <f>Orçamento!C30</f>
        <v>SINAPI/19        95241</v>
      </c>
      <c r="D27" s="2" t="str">
        <f>Orçamento!D30</f>
        <v>LASTRO DE CONCRETO, E = 5 CM, PREPARO MECÂNICO, INCLUSOS LANÇAMENTO E ADENSAMENTO. AF_07_2016</v>
      </c>
      <c r="E27" s="2" t="str">
        <f>Orçamento!E30</f>
        <v>M2</v>
      </c>
      <c r="F27" s="329">
        <f t="shared" ref="F27:F33" si="1">J27</f>
        <v>162.79</v>
      </c>
      <c r="G27" s="228">
        <v>25.2</v>
      </c>
      <c r="H27" s="228">
        <f>J27/G27</f>
        <v>6.4599206349206346</v>
      </c>
      <c r="I27" s="228"/>
      <c r="J27" s="229">
        <v>162.79</v>
      </c>
      <c r="M27" s="244"/>
      <c r="N27" s="244"/>
    </row>
    <row r="28" spans="2:16" ht="38.25" x14ac:dyDescent="0.25">
      <c r="B28" s="115" t="str">
        <f>Orçamento!B31</f>
        <v>3.3</v>
      </c>
      <c r="C28" s="2" t="str">
        <f>Orçamento!C31</f>
        <v>SINAPI/19        93358</v>
      </c>
      <c r="D28" s="2" t="str">
        <f>Orçamento!D31</f>
        <v>ESCAVAÇÃO MANUAL DE VALA COM PROFUNDIDADE MENOR OU IGUAL A 1,30 M. AF_ 03/2016</v>
      </c>
      <c r="E28" s="2" t="str">
        <f>Orçamento!E31</f>
        <v>M3</v>
      </c>
      <c r="F28" s="329">
        <f t="shared" si="1"/>
        <v>230.95</v>
      </c>
      <c r="G28" s="228">
        <v>14.5</v>
      </c>
      <c r="H28" s="228">
        <f>J28/(I28*G28)</f>
        <v>12.251989389920423</v>
      </c>
      <c r="I28" s="228">
        <v>1.3</v>
      </c>
      <c r="J28" s="229">
        <v>230.95</v>
      </c>
      <c r="M28" s="244"/>
      <c r="N28" s="244"/>
    </row>
    <row r="29" spans="2:16" ht="51" x14ac:dyDescent="0.25">
      <c r="B29" s="115" t="str">
        <f>Orçamento!B32</f>
        <v>3.4</v>
      </c>
      <c r="C29" s="2" t="str">
        <f>Orçamento!C32</f>
        <v>COMPOSIÇÃO 2</v>
      </c>
      <c r="D29" s="2" t="str">
        <f>Orçamento!D32</f>
        <v>LOCACAO CONVENCIONAL DE OBRA, ATRAVÉS GABARITO TABUAS CORRIDAS P ONTALETADAS A CADA 1,50M, SEM REAPROVEITAMENTO</v>
      </c>
      <c r="E29" s="2" t="str">
        <f>Orçamento!E32</f>
        <v>M2</v>
      </c>
      <c r="F29" s="329">
        <f t="shared" si="1"/>
        <v>857.39</v>
      </c>
      <c r="G29" s="228">
        <v>25.2</v>
      </c>
      <c r="H29" s="228">
        <f>J29/G29</f>
        <v>34.023412698412699</v>
      </c>
      <c r="I29" s="228"/>
      <c r="J29" s="229">
        <v>857.39</v>
      </c>
      <c r="M29" s="244"/>
      <c r="N29" s="244"/>
    </row>
    <row r="30" spans="2:16" ht="51" x14ac:dyDescent="0.25">
      <c r="B30" s="115" t="str">
        <f>Orçamento!B33</f>
        <v>3.5</v>
      </c>
      <c r="C30" s="2" t="str">
        <f>Orçamento!C33</f>
        <v>COMPOSIÇÃO 3</v>
      </c>
      <c r="D30" s="2" t="str">
        <f>Orçamento!D33</f>
        <v>REATERRO E COMPACTACAO MECANICO DE VALA COM COMPACTADOR MANUAL TIPO SO QUETE VIBRATORIO</v>
      </c>
      <c r="E30" s="2" t="str">
        <f>Orçamento!E33</f>
        <v>M3</v>
      </c>
      <c r="F30" s="329">
        <f t="shared" si="1"/>
        <v>172</v>
      </c>
      <c r="G30" s="228">
        <v>13.42</v>
      </c>
      <c r="H30" s="228">
        <f>J30/G30*1.3</f>
        <v>16.661698956780924</v>
      </c>
      <c r="I30" s="228">
        <v>1.3</v>
      </c>
      <c r="J30" s="229">
        <v>172</v>
      </c>
      <c r="M30" s="244"/>
      <c r="P30" s="117"/>
    </row>
    <row r="31" spans="2:16" ht="76.5" x14ac:dyDescent="0.25">
      <c r="B31" s="115" t="str">
        <f>Orçamento!B34</f>
        <v>3.6</v>
      </c>
      <c r="C31" s="2" t="str">
        <f>Orçamento!C34</f>
        <v>EMLURB 06.03.103</v>
      </c>
      <c r="D31" s="2" t="str">
        <f>Orçamento!D34</f>
        <v>CONCRETO ARMADO PRONTO, FCK 25 MPA CONDICAO A
(NBR 12655), LANCADO EM FUNDACOES E ADENSADO,
INCLUSIVE FORMA, ESCORAMENTO E FERRAGEM.</v>
      </c>
      <c r="E31" s="2" t="str">
        <f>Orçamento!E34</f>
        <v>M3</v>
      </c>
      <c r="F31" s="329">
        <f t="shared" si="1"/>
        <v>23.49</v>
      </c>
      <c r="G31" s="228">
        <v>1.3</v>
      </c>
      <c r="H31" s="228">
        <v>1.2</v>
      </c>
      <c r="I31" s="228">
        <f>H32</f>
        <v>0.2</v>
      </c>
      <c r="J31" s="229">
        <v>23.49</v>
      </c>
      <c r="P31" s="117"/>
    </row>
    <row r="32" spans="2:16" ht="76.5" x14ac:dyDescent="0.25">
      <c r="B32" s="115" t="str">
        <f>Orçamento!B35</f>
        <v>3.7</v>
      </c>
      <c r="C32" s="2" t="str">
        <f>Orçamento!C35</f>
        <v>EMLURB 06.03.123</v>
      </c>
      <c r="D32" s="2" t="str">
        <f>Orçamento!D35</f>
        <v>CONCRETO ARMADO PRONTO, FCK 25 MPA,CONDICAO A
(NBR 12655), LANCADO EM VIGAS E ADENSADO, INCLUSIVE
FORMA, ESCORAMENTO E FERRAGEM.</v>
      </c>
      <c r="E32" s="2" t="str">
        <f>Orçamento!E35</f>
        <v>M3</v>
      </c>
      <c r="F32" s="329">
        <f t="shared" si="1"/>
        <v>102.66</v>
      </c>
      <c r="G32" s="228">
        <f>J32/(H32*I32)</f>
        <v>855.5</v>
      </c>
      <c r="H32" s="228">
        <v>0.2</v>
      </c>
      <c r="I32" s="228">
        <v>0.6</v>
      </c>
      <c r="J32" s="229">
        <v>102.66</v>
      </c>
    </row>
    <row r="33" spans="2:13" ht="76.5" x14ac:dyDescent="0.25">
      <c r="B33" s="115" t="str">
        <f>Orçamento!B36</f>
        <v>3.8</v>
      </c>
      <c r="C33" s="2" t="str">
        <f>Orçamento!C36</f>
        <v>EMLURB 06.03.133</v>
      </c>
      <c r="D33" s="2" t="str">
        <f>Orçamento!D36</f>
        <v>CONCRETO ARMADO PRONTO, FCK 25 MPA,CONDICAO A
(NBR 12655),LANCADO EM PILARES E ADENSADO,INCLUSIVE
FORMA, ESCORAMENTO E FERRAGEM.</v>
      </c>
      <c r="E33" s="2" t="str">
        <f>Orçamento!E36</f>
        <v>M3</v>
      </c>
      <c r="F33" s="329">
        <f t="shared" si="1"/>
        <v>18.23</v>
      </c>
      <c r="G33" s="228">
        <f>J33/(H33*I33)</f>
        <v>151.91666666666669</v>
      </c>
      <c r="H33" s="228">
        <v>0.3</v>
      </c>
      <c r="I33" s="228">
        <v>0.4</v>
      </c>
      <c r="J33" s="229">
        <v>18.23</v>
      </c>
    </row>
    <row r="34" spans="2:13" x14ac:dyDescent="0.25">
      <c r="B34" s="222" t="str">
        <f>Orçamento!B37</f>
        <v>4.0</v>
      </c>
      <c r="C34" s="140"/>
      <c r="D34" s="140" t="str">
        <f>Orçamento!D37</f>
        <v>PINTURA</v>
      </c>
      <c r="E34" s="223" t="str">
        <f>Orçamento!E37</f>
        <v/>
      </c>
      <c r="F34" s="224"/>
      <c r="G34" s="225"/>
      <c r="H34" s="225"/>
      <c r="I34" s="225"/>
      <c r="J34" s="226"/>
    </row>
    <row r="35" spans="2:13" ht="76.5" x14ac:dyDescent="0.25">
      <c r="B35" s="115" t="s">
        <v>24</v>
      </c>
      <c r="C35" s="2" t="str">
        <f>Orçamento!C38</f>
        <v>EMLURB 16.03.060</v>
      </c>
      <c r="D35" s="2" t="str">
        <f>Orçamento!D38</f>
        <v xml:space="preserve">PINTURA A BASE DE EMULSAO ACRILICA,CORALAR OU   SIMILAR, EM PAREDES INTERNAS, DUAS DEMAOS, IN   CLUSIVE LIQUIDO SELADOR  UMA DEMAO, E DUAS DE   MAOS DE MASSA ACRILICA. </v>
      </c>
      <c r="E35" s="2" t="str">
        <f>Orçamento!E38</f>
        <v>M2</v>
      </c>
      <c r="F35" s="329">
        <f>J35</f>
        <v>1772.72</v>
      </c>
      <c r="G35" s="228">
        <f>J35/I35</f>
        <v>590.90666666666664</v>
      </c>
      <c r="H35" s="228"/>
      <c r="I35" s="228">
        <v>3</v>
      </c>
      <c r="J35" s="229">
        <v>1772.72</v>
      </c>
    </row>
    <row r="36" spans="2:13" ht="89.25" x14ac:dyDescent="0.25">
      <c r="B36" s="115" t="s">
        <v>85</v>
      </c>
      <c r="C36" s="2" t="str">
        <f>Orçamento!C39</f>
        <v>EMLURB 16.03.080</v>
      </c>
      <c r="D36" s="2" t="str">
        <f>Orçamento!D39</f>
        <v xml:space="preserve">PINTURA A BASE DE EMULSAO ACRILICA, CORALPLUS   OU SIMILAR, EM PAREDES EXTERNAS, DUAS DEMAOS,   INCLUSIVE APLICACAO DE SELADOR ACRILICO,  UMA   DEMAO E DUAS DEMAOS DE MASSA ACRILICA. </v>
      </c>
      <c r="E36" s="2" t="str">
        <f>Orçamento!E39</f>
        <v>M2</v>
      </c>
      <c r="F36" s="329">
        <f t="shared" ref="F36:F38" si="2">J36</f>
        <v>788.67</v>
      </c>
      <c r="G36" s="228">
        <f>J36/I36</f>
        <v>262.89</v>
      </c>
      <c r="H36" s="228"/>
      <c r="I36" s="228">
        <v>3</v>
      </c>
      <c r="J36" s="229">
        <v>788.67</v>
      </c>
    </row>
    <row r="37" spans="2:13" ht="140.25" x14ac:dyDescent="0.25">
      <c r="B37" s="115" t="s">
        <v>407</v>
      </c>
      <c r="C37" s="2" t="str">
        <f>Orçamento!C40</f>
        <v>EMLURB 16.08.010</v>
      </c>
      <c r="D37" s="2" t="str">
        <f>Orçamento!D40</f>
        <v>DEMARCACAO E PINTURA A BASE DE TINTA ACRILICA
CORALPISO, NOVACOR OU SIMILAR, COM TRINCHA DE
FAIXA COM 5CM DE LARGURA PARA QUADRAS DE ESPO
RTES, ESTACIONAMENTOS, ETC(02 DEMAOS),INCLUSIVE PREPARO DA SUPERFICIE QUE DEVE ESTAR LIMPA SECA E ISENTA DE GORDURA, GRAXA OU MOFO.</v>
      </c>
      <c r="E37" s="2" t="str">
        <f>Orçamento!E40</f>
        <v>M</v>
      </c>
      <c r="F37" s="329">
        <f t="shared" si="2"/>
        <v>202.8</v>
      </c>
      <c r="G37" s="228">
        <v>1.8</v>
      </c>
      <c r="H37" s="228">
        <f>J37/G37</f>
        <v>112.66666666666667</v>
      </c>
      <c r="I37" s="228"/>
      <c r="J37" s="229">
        <v>202.8</v>
      </c>
    </row>
    <row r="38" spans="2:13" ht="127.5" x14ac:dyDescent="0.25">
      <c r="B38" s="115" t="s">
        <v>408</v>
      </c>
      <c r="C38" s="2" t="str">
        <f>Orçamento!C41</f>
        <v>EMLURB 16.08.101</v>
      </c>
      <c r="D38" s="2" t="str">
        <f>Orçamento!D41</f>
        <v>PINTURA A BASE DE TINTA ACRILICA CORALPISO,NO
VACOR OU SIMILAR PARA PISOS DE QUADRAS DE ESPORTES,
ESTACIONAMENTOS, PASSEIOS, ETC(02 DEMAOS),
INCLUSIVE PREPARO DA SUPERFICIE QUE DEVE ESTAR LIMPA, SECA E ISENTA DE GORDURA, GRAXA OU MOFO.</v>
      </c>
      <c r="E38" s="2" t="str">
        <f>Orçamento!E41</f>
        <v>M</v>
      </c>
      <c r="F38" s="329">
        <f t="shared" si="2"/>
        <v>202.8</v>
      </c>
      <c r="G38" s="228">
        <v>1.8</v>
      </c>
      <c r="H38" s="228">
        <f>J38/G38</f>
        <v>112.66666666666667</v>
      </c>
      <c r="I38" s="228"/>
      <c r="J38" s="229">
        <v>202.8</v>
      </c>
    </row>
    <row r="39" spans="2:13" x14ac:dyDescent="0.25">
      <c r="B39" s="222" t="str">
        <f>Orçamento!B42</f>
        <v>5.0</v>
      </c>
      <c r="C39" s="140"/>
      <c r="D39" s="140" t="str">
        <f>Orçamento!D42</f>
        <v>ESQUADRIA</v>
      </c>
      <c r="E39" s="223" t="str">
        <f>Orçamento!E42</f>
        <v/>
      </c>
      <c r="F39" s="224"/>
      <c r="G39" s="225"/>
      <c r="H39" s="225"/>
      <c r="I39" s="225"/>
      <c r="J39" s="226"/>
    </row>
    <row r="40" spans="2:13" ht="127.5" x14ac:dyDescent="0.25">
      <c r="B40" s="115" t="s">
        <v>27</v>
      </c>
      <c r="C40" s="2" t="str">
        <f>Orçamento!C43</f>
        <v>SINAPI/19   90843</v>
      </c>
      <c r="D40" s="2" t="str">
        <f>Orçamento!D43</f>
        <v>KIT DE PORTA DE MADEIRA PARA PINTURA, SEMI-OCA (LEVE OU MÉDIA), PADRÃO MÉDIO, 80X210CM, ESPESSURA DE 3,5CM, ITENS INCLUSOS: DOBRADIÇAS, MONTAGEM E INSTALAÇÃO DO BATENTE, FECHADURA COM EXECUÇÃO DO FURO - FORNECIMENTO E INSTALAÇÃO. AF_08/2015</v>
      </c>
      <c r="E40" s="2" t="str">
        <f>Orçamento!E43</f>
        <v>UNID</v>
      </c>
      <c r="F40" s="228">
        <f>Orçamento!F43</f>
        <v>48</v>
      </c>
      <c r="G40" s="228"/>
      <c r="H40" s="228"/>
      <c r="I40" s="228"/>
      <c r="J40" s="229">
        <f>F40</f>
        <v>48</v>
      </c>
    </row>
    <row r="41" spans="2:13" ht="51" x14ac:dyDescent="0.25">
      <c r="B41" s="115" t="s">
        <v>84</v>
      </c>
      <c r="C41" s="2" t="str">
        <f>Orçamento!C44</f>
        <v>SINAPI/19  73838/001</v>
      </c>
      <c r="D41" s="2" t="str">
        <f>Orçamento!D44</f>
        <v xml:space="preserve">PORTA DE VIDRO TEMPERADO, 0,9X2,10M, ESPESSURA 10MM, INCLUSIVE ACESSORIOS
</v>
      </c>
      <c r="E41" s="2" t="str">
        <f>Orçamento!E44</f>
        <v>UNID</v>
      </c>
      <c r="F41" s="228">
        <f>Orçamento!F44</f>
        <v>5</v>
      </c>
      <c r="G41" s="228"/>
      <c r="H41" s="228"/>
      <c r="I41" s="228"/>
      <c r="J41" s="229">
        <f t="shared" ref="J41:J49" si="3">F41</f>
        <v>5</v>
      </c>
    </row>
    <row r="42" spans="2:13" ht="51" x14ac:dyDescent="0.25">
      <c r="B42" s="115" t="s">
        <v>415</v>
      </c>
      <c r="C42" s="2" t="str">
        <f>Orçamento!C45</f>
        <v>COMPOSIÇÃO 4</v>
      </c>
      <c r="D42" s="2" t="str">
        <f>Orçamento!D45</f>
        <v>PORTA DE CORRER, VIDRO TEMPERADO, 1,3X2,10M, ESPESSURA 10MM, INCLUSIVE ACESSORIOS</v>
      </c>
      <c r="E42" s="2" t="str">
        <f>Orçamento!E45</f>
        <v>UNID</v>
      </c>
      <c r="F42" s="228">
        <f>Orçamento!F45</f>
        <v>1</v>
      </c>
      <c r="G42" s="228"/>
      <c r="H42" s="228"/>
      <c r="I42" s="228"/>
      <c r="J42" s="229">
        <f t="shared" si="3"/>
        <v>1</v>
      </c>
    </row>
    <row r="43" spans="2:13" ht="51" x14ac:dyDescent="0.25">
      <c r="B43" s="115" t="s">
        <v>129</v>
      </c>
      <c r="C43" s="2" t="str">
        <f>Orçamento!C46</f>
        <v>COMPOSIÇÃO 5</v>
      </c>
      <c r="D43" s="2" t="str">
        <f>Orçamento!D46</f>
        <v>PORTA DE CORRER, VIDRO TEMPERADO, 1,75X2,10M, ESPESSURA 10MM, INCLUSIVE ACESSORIOS</v>
      </c>
      <c r="E43" s="2" t="str">
        <f>Orçamento!E46</f>
        <v>UNID</v>
      </c>
      <c r="F43" s="228">
        <f>Orçamento!F46</f>
        <v>1</v>
      </c>
      <c r="G43" s="228"/>
      <c r="H43" s="228"/>
      <c r="I43" s="228"/>
      <c r="J43" s="229">
        <f t="shared" si="3"/>
        <v>1</v>
      </c>
    </row>
    <row r="44" spans="2:13" ht="38.25" x14ac:dyDescent="0.25">
      <c r="B44" s="115" t="s">
        <v>135</v>
      </c>
      <c r="C44" s="2" t="str">
        <f>Orçamento!C47</f>
        <v>COMPOSIÇÃO 6</v>
      </c>
      <c r="D44" s="2" t="str">
        <f>Orçamento!D47</f>
        <v>PORTA DE GIRO 02 FOLHAS COM TRATAMENTO ACÚSTICO - DIMENSÕES 2,4X2,10</v>
      </c>
      <c r="E44" s="2" t="str">
        <f>Orçamento!E47</f>
        <v>UNID</v>
      </c>
      <c r="F44" s="228">
        <f>Orçamento!F47</f>
        <v>1</v>
      </c>
      <c r="G44" s="228"/>
      <c r="H44" s="228"/>
      <c r="I44" s="228"/>
      <c r="J44" s="229">
        <f t="shared" si="3"/>
        <v>1</v>
      </c>
      <c r="M44" s="227"/>
    </row>
    <row r="45" spans="2:13" ht="51" x14ac:dyDescent="0.25">
      <c r="B45" s="115" t="s">
        <v>137</v>
      </c>
      <c r="C45" s="2" t="str">
        <f>Orçamento!C48</f>
        <v>COMPOSIÇÃO 7</v>
      </c>
      <c r="D45" s="2" t="str">
        <f>Orçamento!D48</f>
        <v>PORTA DE GIRO DUAS FOLHAS, VIDRO TEMPERADO, 2,25X2,10M, ESPESSURA 10MM, INCLUSIVE ACESSORIOS</v>
      </c>
      <c r="E45" s="2" t="str">
        <f>Orçamento!E48</f>
        <v>UNID</v>
      </c>
      <c r="F45" s="228">
        <f>Orçamento!F48</f>
        <v>1</v>
      </c>
      <c r="G45" s="228"/>
      <c r="H45" s="228"/>
      <c r="I45" s="228"/>
      <c r="J45" s="229">
        <f t="shared" si="3"/>
        <v>1</v>
      </c>
    </row>
    <row r="46" spans="2:13" ht="51" x14ac:dyDescent="0.25">
      <c r="B46" s="115" t="s">
        <v>416</v>
      </c>
      <c r="C46" s="2" t="str">
        <f>Orçamento!C49</f>
        <v>COMPOSIÇÃO 8</v>
      </c>
      <c r="D46" s="2" t="str">
        <f>Orçamento!D49</f>
        <v>PORTA DE GIRO DUAS FOLHAS, VIDRO TEMPERADO, 1,95X2,10M, ESPESSURA 10MM, INCLUSIVE ACESSORIOS</v>
      </c>
      <c r="E46" s="2" t="str">
        <f>Orçamento!E49</f>
        <v>UNID</v>
      </c>
      <c r="F46" s="228">
        <f>Orçamento!F49</f>
        <v>1</v>
      </c>
      <c r="G46" s="228"/>
      <c r="H46" s="228"/>
      <c r="I46" s="228"/>
      <c r="J46" s="229">
        <f t="shared" si="3"/>
        <v>1</v>
      </c>
    </row>
    <row r="47" spans="2:13" ht="51" x14ac:dyDescent="0.25">
      <c r="B47" s="115" t="s">
        <v>144</v>
      </c>
      <c r="C47" s="2" t="str">
        <f>Orçamento!C50</f>
        <v>COMPOSIÇÃO 9</v>
      </c>
      <c r="D47" s="2" t="str">
        <f>Orçamento!D50</f>
        <v>PORTA DE GIRO DUAS FOLHAS, VIDRO TEMPERADO, 3,10X2,10M, ESPESSURA 10MM, INCLUSIVE ACESSORIOS</v>
      </c>
      <c r="E47" s="2" t="str">
        <f>Orçamento!E50</f>
        <v>UNID</v>
      </c>
      <c r="F47" s="228">
        <f>Orçamento!F50</f>
        <v>1</v>
      </c>
      <c r="G47" s="228"/>
      <c r="H47" s="228"/>
      <c r="I47" s="228"/>
      <c r="J47" s="229">
        <f t="shared" si="3"/>
        <v>1</v>
      </c>
    </row>
    <row r="48" spans="2:13" s="244" customFormat="1" ht="51" x14ac:dyDescent="0.25">
      <c r="B48" s="115" t="s">
        <v>417</v>
      </c>
      <c r="C48" s="2" t="str">
        <f>Orçamento!C51</f>
        <v>COMPOSIÇÃO 10</v>
      </c>
      <c r="D48" s="2" t="str">
        <f>Orçamento!D51</f>
        <v>PORTA DE CORRER, VIDRO TEMPERADO, 1,95X2,10M, ESPESSURA 10MM, INCLUSIVE ACESSORIOS</v>
      </c>
      <c r="E48" s="2" t="str">
        <f>Orçamento!E51</f>
        <v>UNID</v>
      </c>
      <c r="F48" s="228">
        <f>Orçamento!F51</f>
        <v>1</v>
      </c>
      <c r="G48" s="228"/>
      <c r="H48" s="228"/>
      <c r="I48" s="228"/>
      <c r="J48" s="229">
        <f t="shared" si="3"/>
        <v>1</v>
      </c>
    </row>
    <row r="49" spans="2:12" s="244" customFormat="1" ht="76.5" x14ac:dyDescent="0.25">
      <c r="B49" s="115" t="s">
        <v>418</v>
      </c>
      <c r="C49" s="2" t="str">
        <f>Orçamento!C52</f>
        <v>COMPOSIÇÃO 11</v>
      </c>
      <c r="D49" s="2" t="str">
        <f>Orçamento!D52</f>
        <v>PORTA DE GIRO DUAS FOLHAS COM DOIS QUADROS FIXOS LATERAIS E BANDEIRAS FIXAS, VIDRO TEMPERADO, 3,10X2,10M, ESPESSURA 10MM, INCLUSIVE ACESSORIOS</v>
      </c>
      <c r="E49" s="2" t="str">
        <f>Orçamento!E52</f>
        <v>UNID</v>
      </c>
      <c r="F49" s="228">
        <f>Orçamento!F52</f>
        <v>1</v>
      </c>
      <c r="G49" s="228"/>
      <c r="H49" s="228"/>
      <c r="I49" s="228"/>
      <c r="J49" s="229">
        <f t="shared" si="3"/>
        <v>1</v>
      </c>
    </row>
    <row r="50" spans="2:12" s="244" customFormat="1" ht="25.5" x14ac:dyDescent="0.25">
      <c r="B50" s="115" t="s">
        <v>441</v>
      </c>
      <c r="C50" s="2" t="str">
        <f>Orçamento!C53</f>
        <v xml:space="preserve"> SINAPI/19        85010</v>
      </c>
      <c r="D50" s="2" t="str">
        <f>Orçamento!D53</f>
        <v>CAIXILHO FIXO, DE ALUMINIO, PARA VIDRO</v>
      </c>
      <c r="E50" s="2" t="str">
        <f>Orçamento!E53</f>
        <v>M2</v>
      </c>
      <c r="F50" s="329">
        <f>J50</f>
        <v>8.64</v>
      </c>
      <c r="G50" s="228">
        <v>0.8</v>
      </c>
      <c r="H50" s="228"/>
      <c r="I50" s="228">
        <f>J50/G50</f>
        <v>10.8</v>
      </c>
      <c r="J50" s="229">
        <v>8.64</v>
      </c>
    </row>
    <row r="51" spans="2:12" s="244" customFormat="1" ht="63.75" x14ac:dyDescent="0.25">
      <c r="B51" s="115" t="s">
        <v>487</v>
      </c>
      <c r="C51" s="2" t="str">
        <f>Orçamento!C54</f>
        <v>SINAPI/19   94585</v>
      </c>
      <c r="D51" s="2" t="str">
        <f>Orçamento!D54</f>
        <v>JANELA DE ALUMÍNIO MAXIMAR, FIXAÇÃO COM PARAFUSO SOBRE CONTRAMARCO (E XCLUSIVE CONTRAMARCO), COM VIDROS, PADRONIZADA. AF_07/2016</v>
      </c>
      <c r="E51" s="2" t="str">
        <f>Orçamento!E54</f>
        <v>M2</v>
      </c>
      <c r="F51" s="329">
        <f t="shared" ref="F51:F55" si="4">J51</f>
        <v>2.97</v>
      </c>
      <c r="G51" s="228">
        <v>1.1000000000000001</v>
      </c>
      <c r="H51" s="228"/>
      <c r="I51" s="228">
        <f t="shared" ref="I51:I54" si="5">J51/G51</f>
        <v>2.7</v>
      </c>
      <c r="J51" s="229">
        <v>2.97</v>
      </c>
    </row>
    <row r="52" spans="2:12" s="244" customFormat="1" ht="51" x14ac:dyDescent="0.25">
      <c r="B52" s="115" t="s">
        <v>488</v>
      </c>
      <c r="C52" s="2" t="str">
        <f>Orçamento!C55</f>
        <v>SINAPI/19   94570</v>
      </c>
      <c r="D52" s="2" t="str">
        <f>Orçamento!D55</f>
        <v>JANELA DE ALUMÍNIO DE CORRER, 4 FOLHAS, FIXAÇÃO COM ARGAMASSA, COM VIDROS, PADRONIZADA. AF_07/2016</v>
      </c>
      <c r="E52" s="2" t="str">
        <f>Orçamento!E55</f>
        <v>M2</v>
      </c>
      <c r="F52" s="329">
        <f t="shared" si="4"/>
        <v>13.2</v>
      </c>
      <c r="G52" s="228">
        <v>1.6</v>
      </c>
      <c r="H52" s="228"/>
      <c r="I52" s="228">
        <f t="shared" si="5"/>
        <v>8.2499999999999982</v>
      </c>
      <c r="J52" s="229">
        <v>13.2</v>
      </c>
    </row>
    <row r="53" spans="2:12" s="244" customFormat="1" ht="51" x14ac:dyDescent="0.25">
      <c r="B53" s="115" t="s">
        <v>489</v>
      </c>
      <c r="C53" s="2" t="str">
        <f>Orçamento!C56</f>
        <v xml:space="preserve"> SINAPI/19       94582</v>
      </c>
      <c r="D53" s="2" t="str">
        <f>Orçamento!D56</f>
        <v>JANELA DE ALUMÍNIO DE CORRER, 2 FOLHAS, FIXAÇÃO COM ARGAMASSA, COM VIDROS, PADRONIZADA. AF_07/2016</v>
      </c>
      <c r="E53" s="2" t="str">
        <f>Orçamento!E56</f>
        <v>M2</v>
      </c>
      <c r="F53" s="329">
        <f t="shared" si="4"/>
        <v>18.84</v>
      </c>
      <c r="G53" s="228">
        <v>1.8</v>
      </c>
      <c r="H53" s="228"/>
      <c r="I53" s="228">
        <f t="shared" si="5"/>
        <v>10.466666666666667</v>
      </c>
      <c r="J53" s="229">
        <v>18.84</v>
      </c>
    </row>
    <row r="54" spans="2:12" s="244" customFormat="1" ht="76.5" x14ac:dyDescent="0.25">
      <c r="B54" s="115" t="s">
        <v>490</v>
      </c>
      <c r="C54" s="2" t="str">
        <f>Orçamento!C57</f>
        <v xml:space="preserve"> SINAPI/19        73774/001</v>
      </c>
      <c r="D54" s="2" t="str">
        <f>Orçamento!D57</f>
        <v>DIVISORIA EM MARMORITE ESPESSURA 35MM, CHUMBAMENTO NO PISO E PAREDE COM ARGAMASSA DE CIMENTO E AREIA, POLIMENTO MANUAL, EXCLUSIVE FERRAGENS</v>
      </c>
      <c r="E54" s="2" t="str">
        <f>Orçamento!E57</f>
        <v>M2</v>
      </c>
      <c r="F54" s="329">
        <f t="shared" si="4"/>
        <v>17.28</v>
      </c>
      <c r="G54" s="228">
        <v>1.8</v>
      </c>
      <c r="H54" s="228"/>
      <c r="I54" s="228">
        <f t="shared" si="5"/>
        <v>9.6</v>
      </c>
      <c r="J54" s="229">
        <v>17.28</v>
      </c>
    </row>
    <row r="55" spans="2:12" s="244" customFormat="1" ht="76.5" x14ac:dyDescent="0.25">
      <c r="B55" s="115" t="s">
        <v>491</v>
      </c>
      <c r="C55" s="2" t="str">
        <f>Orçamento!C58</f>
        <v>EMLURB -18 17.07.020</v>
      </c>
      <c r="D55" s="2" t="str">
        <f>Orçamento!D58</f>
        <v>FORNECIMENTO E ASSENTAMENTO DE GRADIL E/OU
PORTAO COM FERRAGENS, MODELO AV 31/2000-OP 02 INCLUSIVE APARELHAMENTO E PINTURA COM ESMALTE SINTETICO DUAS DEMAOS.</v>
      </c>
      <c r="E55" s="2" t="str">
        <f>Orçamento!E58</f>
        <v>M2</v>
      </c>
      <c r="F55" s="329">
        <f t="shared" si="4"/>
        <v>11.15</v>
      </c>
      <c r="G55" s="228">
        <v>0.3</v>
      </c>
      <c r="H55" s="228">
        <f>J55/G55</f>
        <v>37.166666666666671</v>
      </c>
      <c r="I55" s="228"/>
      <c r="J55" s="229">
        <v>11.15</v>
      </c>
    </row>
    <row r="56" spans="2:12" x14ac:dyDescent="0.25">
      <c r="B56" s="222" t="str">
        <f>Orçamento!B59</f>
        <v>6.0</v>
      </c>
      <c r="C56" s="140"/>
      <c r="D56" s="140" t="str">
        <f>Orçamento!D59</f>
        <v>REVESTIMENTOS E PISOS</v>
      </c>
      <c r="E56" s="223" t="str">
        <f>Orçamento!E59</f>
        <v/>
      </c>
      <c r="F56" s="224"/>
      <c r="G56" s="225"/>
      <c r="H56" s="225"/>
      <c r="I56" s="225"/>
      <c r="J56" s="226"/>
    </row>
    <row r="57" spans="2:12" ht="76.5" x14ac:dyDescent="0.25">
      <c r="B57" s="115" t="str">
        <f>Orçamento!B60</f>
        <v>6.1</v>
      </c>
      <c r="C57" s="2" t="str">
        <f>Orçamento!C60</f>
        <v xml:space="preserve"> SINAPI/19        87878</v>
      </c>
      <c r="D57" s="2" t="str">
        <f>Orçamento!D60</f>
        <v>CHAPISCO APLICADO EM ALVENARIAS E ESTRUTURAS DE CONCRETO INTERNAS, COM COLHER DE PEDREIRO. ARGAMASSA TRAÇO 1:3 COM PREPARO MANUAL. AF_06/2014</v>
      </c>
      <c r="E57" s="2" t="str">
        <f>Orçamento!E60</f>
        <v>M2</v>
      </c>
      <c r="F57" s="329">
        <f>J57</f>
        <v>3535.44</v>
      </c>
      <c r="G57" s="228">
        <f>J57/I57</f>
        <v>1178.48</v>
      </c>
      <c r="H57" s="228"/>
      <c r="I57" s="228">
        <v>3</v>
      </c>
      <c r="J57" s="229">
        <v>3535.44</v>
      </c>
    </row>
    <row r="58" spans="2:12" ht="89.25" x14ac:dyDescent="0.25">
      <c r="B58" s="115" t="str">
        <f>Orçamento!B61</f>
        <v>6.2</v>
      </c>
      <c r="C58" s="2" t="str">
        <f>Orçamento!C61</f>
        <v xml:space="preserve"> SINAPI/19        87530</v>
      </c>
      <c r="D58" s="2" t="str">
        <f>Orçamento!D61</f>
        <v>MASSA ÚNICA, PARA RECEBIMENTO DE PINTURA, EM ARGAMASSA TRAÇO 1:2:8, PREPARO MANUAL, APLICADA MANUALMENTE EM FACES INTERNAS DE PAREDES, ESPESSURA DE 20MM, COM EXECUÇÃO DE TALISCAS.</v>
      </c>
      <c r="E58" s="2" t="str">
        <f>Orçamento!E61</f>
        <v>M2</v>
      </c>
      <c r="F58" s="329">
        <f t="shared" ref="F58:F68" si="6">J58</f>
        <v>1767.72</v>
      </c>
      <c r="G58" s="228">
        <f>J58/3</f>
        <v>589.24</v>
      </c>
      <c r="H58" s="228"/>
      <c r="I58" s="228">
        <v>3</v>
      </c>
      <c r="J58" s="229">
        <v>1767.72</v>
      </c>
      <c r="L58">
        <f>F58/3</f>
        <v>589.24</v>
      </c>
    </row>
    <row r="59" spans="2:12" ht="102" x14ac:dyDescent="0.25">
      <c r="B59" s="115" t="str">
        <f>Orçamento!B62</f>
        <v>6.3</v>
      </c>
      <c r="C59" s="2" t="str">
        <f>Orçamento!C62</f>
        <v xml:space="preserve"> SINAPI/19        87528 </v>
      </c>
      <c r="D59" s="2" t="str">
        <f>Orçamento!D62</f>
        <v>EMBOÇO, PARA RECEBIMENTO DE CERÂMICA, EM ARGAMASSA TRAÇO 1:2:8, PREPARO MANUAL, APLICADO MANUALMENTE EM FACES INTERNAS DE PAREDES, PARA AMBIENTE COM ÁREA MENOR QUE 5M2, ESPESSURA DE 20MM, COM EXECUÇÃO DE TALISCAS. AF_06/2014</v>
      </c>
      <c r="E59" s="2" t="str">
        <f>Orçamento!E62</f>
        <v>M2</v>
      </c>
      <c r="F59" s="329">
        <f t="shared" si="6"/>
        <v>1767.72</v>
      </c>
      <c r="G59" s="228">
        <f>J59/3</f>
        <v>589.24</v>
      </c>
      <c r="H59" s="228"/>
      <c r="I59" s="228">
        <v>3</v>
      </c>
      <c r="J59" s="229">
        <v>1767.72</v>
      </c>
    </row>
    <row r="60" spans="2:12" ht="63.75" x14ac:dyDescent="0.25">
      <c r="B60" s="115" t="str">
        <f>Orçamento!B63</f>
        <v>6.4</v>
      </c>
      <c r="C60" s="2" t="str">
        <f>Orçamento!C63</f>
        <v>SINAPI/19   87248</v>
      </c>
      <c r="D60" s="2" t="str">
        <f>Orçamento!D63</f>
        <v xml:space="preserve"> REVESTIMENTO CERÂMICO PARA PISO COM PLACAS TIPO ESMALTADA EXTRA DE DIMENSÕES 35X35 CM APLICADA EM AMBIENTES DE ÁREA MAIOR QUE 10 M2. AF_06/2014 </v>
      </c>
      <c r="E60" s="2" t="str">
        <f>Orçamento!E63</f>
        <v>M2</v>
      </c>
      <c r="F60" s="329">
        <f t="shared" si="6"/>
        <v>146.16999999999999</v>
      </c>
      <c r="G60" s="228">
        <v>12</v>
      </c>
      <c r="H60" s="228">
        <f>J60/G60</f>
        <v>12.180833333333332</v>
      </c>
      <c r="I60" s="228"/>
      <c r="J60" s="229">
        <v>146.16999999999999</v>
      </c>
    </row>
    <row r="61" spans="2:12" ht="102" x14ac:dyDescent="0.25">
      <c r="B61" s="115" t="str">
        <f>Orçamento!B64</f>
        <v>6.5</v>
      </c>
      <c r="C61" s="2" t="str">
        <f>Orçamento!C64</f>
        <v xml:space="preserve">SINAPI/19   87265 </v>
      </c>
      <c r="D61" s="2" t="str">
        <f>Orçamento!D64</f>
        <v>REVESTIMENTO CERÂMICO PARA PAREDES INTERNAS COM PLACAS TIPO ESMALTADA  EXTRA DE DIMENSÕES 20X20 CM APLICADAS EM AMBIENTES DE ÁREA MAIOR QUE 5
 M² NA ALTURA INTEIRA DAS PAREDES. AF_06/2014</v>
      </c>
      <c r="E61" s="2" t="str">
        <f>Orçamento!E64</f>
        <v>M2</v>
      </c>
      <c r="F61" s="329">
        <f t="shared" si="6"/>
        <v>197.09</v>
      </c>
      <c r="G61" s="228">
        <f>J61/I61</f>
        <v>65.696666666666673</v>
      </c>
      <c r="H61" s="228"/>
      <c r="I61" s="228">
        <v>3</v>
      </c>
      <c r="J61" s="229">
        <v>197.09</v>
      </c>
    </row>
    <row r="62" spans="2:12" ht="102" x14ac:dyDescent="0.25">
      <c r="B62" s="115" t="str">
        <f>Orçamento!B65</f>
        <v>6.6</v>
      </c>
      <c r="C62" s="2" t="str">
        <f>Orçamento!C65</f>
        <v>SINAPI/19   87267</v>
      </c>
      <c r="D62" s="2" t="str">
        <f>Orçamento!D65</f>
        <v xml:space="preserve"> REVESTIMENTO CERÂMICO PARA PAREDES INTERNAS COM PLACAS TIPO ESMALTADA  EXTRA DE DIMENSÕES 20X20 CM APLICADAS EM AMBIENTES DE ÁREA MAIOR QUE 5  M² A MEIA ALTURA DAS PAREDES. AF_06/2014
 </v>
      </c>
      <c r="E62" s="2" t="str">
        <f>Orçamento!E65</f>
        <v>M2</v>
      </c>
      <c r="F62" s="329">
        <f t="shared" si="6"/>
        <v>325.68</v>
      </c>
      <c r="G62" s="228">
        <f>J62/I62</f>
        <v>217.12</v>
      </c>
      <c r="H62" s="228"/>
      <c r="I62" s="228">
        <v>1.5</v>
      </c>
      <c r="J62" s="229">
        <v>325.68</v>
      </c>
    </row>
    <row r="63" spans="2:12" ht="51" x14ac:dyDescent="0.25">
      <c r="B63" s="115" t="str">
        <f>Orçamento!B66</f>
        <v>6.7</v>
      </c>
      <c r="C63" s="2" t="str">
        <f>Orçamento!C66</f>
        <v>SINAPI/19        95241</v>
      </c>
      <c r="D63" s="2" t="str">
        <f>Orçamento!D66</f>
        <v>LASTRO DE CONCRETO, E = 5 CM, PREPARO MECÂNICO, INCLUSOS LANÇAMENTO E ADENSAMENTO. AF_07_2016</v>
      </c>
      <c r="E63" s="2" t="str">
        <f>Orçamento!E66</f>
        <v>M2</v>
      </c>
      <c r="F63" s="329">
        <f t="shared" si="6"/>
        <v>834.39</v>
      </c>
      <c r="G63" s="228">
        <v>25.2</v>
      </c>
      <c r="H63" s="228">
        <f>J63/G63</f>
        <v>33.110714285714288</v>
      </c>
      <c r="I63" s="228"/>
      <c r="J63" s="229">
        <v>834.39</v>
      </c>
    </row>
    <row r="64" spans="2:12" ht="114.75" x14ac:dyDescent="0.25">
      <c r="B64" s="115" t="str">
        <f>Orçamento!B67</f>
        <v>6.8</v>
      </c>
      <c r="C64" s="2" t="str">
        <f>Orçamento!C67</f>
        <v>EMLURB 17.01.180</v>
      </c>
      <c r="D64" s="2" t="str">
        <f>Orçamento!D67</f>
        <v>PASSEIO EM BLOCO DE CIMENTO INTERTRAVADO TIPO
PAVER OU SIM. FCK MINIMO 30 MPA COM PIGMENTO
NATURAL, DIM.(0,20 X 0,10 X 0,08)M, ASSENTAD0 SOBRE COLCHAO DE AREIA COM 6CM DE ESPESSURA E REJUNTADO COM AREIA FINA COM USO DE PLACA VIBRATORIA</v>
      </c>
      <c r="E64" s="2" t="str">
        <f>Orçamento!E67</f>
        <v>M2</v>
      </c>
      <c r="F64" s="329">
        <f t="shared" si="6"/>
        <v>951.72</v>
      </c>
      <c r="G64" s="228">
        <v>35.56</v>
      </c>
      <c r="H64" s="228">
        <f>J64/G64</f>
        <v>26.763779527559056</v>
      </c>
      <c r="I64" s="228"/>
      <c r="J64" s="229">
        <v>951.72</v>
      </c>
    </row>
    <row r="65" spans="2:10" ht="25.5" x14ac:dyDescent="0.25">
      <c r="B65" s="115" t="str">
        <f>Orçamento!B68</f>
        <v>6.9</v>
      </c>
      <c r="C65" s="2" t="str">
        <f>Orçamento!C68</f>
        <v>EMLURB 17.03.045</v>
      </c>
      <c r="D65" s="2" t="str">
        <f>Orçamento!D68</f>
        <v>FORNECIMENTO E PLANTIO DE GRAMA ESMERALDA (EM TAPETE).</v>
      </c>
      <c r="E65" s="2" t="str">
        <f>Orçamento!E68</f>
        <v>M2</v>
      </c>
      <c r="F65" s="329">
        <f t="shared" si="6"/>
        <v>87.03</v>
      </c>
      <c r="G65" s="228">
        <v>1.1499999999999999</v>
      </c>
      <c r="H65" s="228">
        <f>J65/G65</f>
        <v>75.678260869565221</v>
      </c>
      <c r="I65" s="228"/>
      <c r="J65" s="229">
        <v>87.03</v>
      </c>
    </row>
    <row r="66" spans="2:10" ht="140.25" x14ac:dyDescent="0.25">
      <c r="B66" s="115" t="str">
        <f>Orçamento!B69</f>
        <v>6.10</v>
      </c>
      <c r="C66" s="2" t="str">
        <f>Orçamento!C69</f>
        <v>EMLURB 20.09.040</v>
      </c>
      <c r="D66" s="2" t="str">
        <f>Orçamento!D69</f>
        <v>FORNEC.E ASSENT.DE MEIO-FIO DE PEDRA GRAN. RE
JUNTADO C/ ARG.DE CIM. E AREIA 1 2 E CONST.DE
LINHA D AGUA DE PARALEL. ASSENTADOS SOBRE MIS
TURA DE CIM.E AREIA 1 6 C/6 CM DE ESP.E REJUNTADOS C/ ARG.DE CIM.E AREIA 1 2 ,INCLUSIVE BASE DE CONCRETO 1 4 8 C/ 10 CM DE ESPESSURA.</v>
      </c>
      <c r="E66" s="2" t="str">
        <f>Orçamento!E69</f>
        <v>M</v>
      </c>
      <c r="F66" s="329">
        <f t="shared" si="6"/>
        <v>101.18</v>
      </c>
      <c r="G66" s="228">
        <v>101.18</v>
      </c>
      <c r="H66" s="228"/>
      <c r="I66" s="228"/>
      <c r="J66" s="229">
        <f>G66</f>
        <v>101.18</v>
      </c>
    </row>
    <row r="67" spans="2:10" s="244" customFormat="1" ht="51" x14ac:dyDescent="0.25">
      <c r="B67" s="115" t="str">
        <f>Orçamento!B70</f>
        <v>6.11</v>
      </c>
      <c r="C67" s="2" t="str">
        <f>Orçamento!C70</f>
        <v>SINAPI/19        84191</v>
      </c>
      <c r="D67" s="2" t="str">
        <f>Orçamento!D70</f>
        <v>PISO EM GRANILITE, MARMORITE OU GRANITINA ESPESSURA 8 MM, INCLUSO JUNTAS DE DILATACAO PLASTICAS</v>
      </c>
      <c r="E67" s="2" t="str">
        <f>Orçamento!E70</f>
        <v>M2</v>
      </c>
      <c r="F67" s="329">
        <f t="shared" si="6"/>
        <v>688.22</v>
      </c>
      <c r="G67" s="228">
        <v>12.51</v>
      </c>
      <c r="H67" s="228"/>
      <c r="I67" s="228">
        <f>J67/G67</f>
        <v>55.013589128697042</v>
      </c>
      <c r="J67" s="229">
        <v>688.22</v>
      </c>
    </row>
    <row r="68" spans="2:10" s="244" customFormat="1" ht="63.75" x14ac:dyDescent="0.25">
      <c r="B68" s="115" t="str">
        <f>Orçamento!B71</f>
        <v>6.12</v>
      </c>
      <c r="C68" s="2" t="str">
        <f>Orçamento!C71</f>
        <v>EMLURB -        17.01.142</v>
      </c>
      <c r="D68" s="2" t="str">
        <f>Orçamento!D71</f>
        <v xml:space="preserve">PASSEIO EM LAJOTA DE CONCRETO ANTIDERRAPANTE  30X30CM, TATIL ALERTA E DIRECIONAL, NATURAL,  APLICADO SOBRE LASTRO DE CONCRETO JA PRONTO. </v>
      </c>
      <c r="E68" s="2" t="str">
        <f>Orçamento!E71</f>
        <v>M2</v>
      </c>
      <c r="F68" s="329">
        <f t="shared" si="6"/>
        <v>8</v>
      </c>
      <c r="G68" s="228">
        <f>J68/H68</f>
        <v>26.666666666666668</v>
      </c>
      <c r="H68" s="228">
        <v>0.3</v>
      </c>
      <c r="I68" s="228"/>
      <c r="J68" s="229">
        <v>8</v>
      </c>
    </row>
    <row r="69" spans="2:10" ht="25.5" x14ac:dyDescent="0.25">
      <c r="B69" s="222" t="s">
        <v>32</v>
      </c>
      <c r="C69" s="140"/>
      <c r="D69" s="140" t="str">
        <f>Orçamento!D72</f>
        <v>INSTALAÇÕES TELEFONICAS E DE LÓGICA</v>
      </c>
      <c r="E69" s="223"/>
      <c r="F69" s="224"/>
      <c r="G69" s="225"/>
      <c r="H69" s="225"/>
      <c r="I69" s="225"/>
      <c r="J69" s="226"/>
    </row>
    <row r="70" spans="2:10" ht="76.5" x14ac:dyDescent="0.25">
      <c r="B70" s="115" t="s">
        <v>33</v>
      </c>
      <c r="C70" s="2" t="str">
        <f>Orçamento!C73</f>
        <v>EMLURB 18.16.020</v>
      </c>
      <c r="D70" s="2" t="str">
        <f>Orçamento!D73</f>
        <v>TOMADA DE EMBUTIR PARA TELEFONE QUATRO POLOS,
PADRAO TELEBRAS, COM PLACA, PARA CAIXA 4 X 2 POL., PIAL (LINHA SILENTOQUE) OU SIMILAR, INCLUSIVE INSTALACAO.</v>
      </c>
      <c r="E70" s="2" t="str">
        <f>Orçamento!E73</f>
        <v>UNID</v>
      </c>
      <c r="F70" s="2">
        <f>Orçamento!F73</f>
        <v>15</v>
      </c>
      <c r="G70" s="228"/>
      <c r="H70" s="228"/>
      <c r="I70" s="228"/>
      <c r="J70" s="229">
        <f>F70</f>
        <v>15</v>
      </c>
    </row>
    <row r="71" spans="2:10" ht="63.75" x14ac:dyDescent="0.25">
      <c r="B71" s="115" t="s">
        <v>41</v>
      </c>
      <c r="C71" s="2" t="str">
        <f>Orçamento!C74</f>
        <v>SINAPI/19   83369</v>
      </c>
      <c r="D71" s="2" t="str">
        <f>Orçamento!D74</f>
        <v>QUADRO DE DISTRIBUICAO PARA TELEFONE N.4, 60X60X12CM EM CHAPA METALICA, DE EMBUTIR, SEM ACESSORIOS, PADRAO TELEBRAS, FORNECIMENTO E INSTALACAO</v>
      </c>
      <c r="E71" s="2" t="str">
        <f>Orçamento!E74</f>
        <v>UNID</v>
      </c>
      <c r="F71" s="2">
        <f>Orçamento!F74</f>
        <v>1</v>
      </c>
      <c r="G71" s="228"/>
      <c r="H71" s="228"/>
      <c r="I71" s="228"/>
      <c r="J71" s="229">
        <f t="shared" ref="J71:J72" si="7">F71</f>
        <v>1</v>
      </c>
    </row>
    <row r="72" spans="2:10" ht="51" x14ac:dyDescent="0.25">
      <c r="B72" s="115" t="s">
        <v>42</v>
      </c>
      <c r="C72" s="2" t="str">
        <f>Orçamento!C75</f>
        <v>COMPOSIÇÃO 12</v>
      </c>
      <c r="D72" s="2" t="str">
        <f>Orçamento!D75</f>
        <v xml:space="preserve">PONTO DE TELEFONE, COM ELETRODUTO DE PVC RÍGIDO EMBUTIDO ∅3/4''
</v>
      </c>
      <c r="E72" s="2" t="str">
        <f>Orçamento!E75</f>
        <v>UNID</v>
      </c>
      <c r="F72" s="2">
        <f>Orçamento!F75</f>
        <v>15</v>
      </c>
      <c r="G72" s="228"/>
      <c r="H72" s="228"/>
      <c r="I72" s="228"/>
      <c r="J72" s="229">
        <f t="shared" si="7"/>
        <v>15</v>
      </c>
    </row>
    <row r="73" spans="2:10" x14ac:dyDescent="0.25">
      <c r="B73" s="222" t="s">
        <v>113</v>
      </c>
      <c r="C73" s="140"/>
      <c r="D73" s="140" t="str">
        <f>Orçamento!D76</f>
        <v>COBERTURA</v>
      </c>
      <c r="E73" s="223"/>
      <c r="F73" s="224"/>
      <c r="G73" s="225"/>
      <c r="H73" s="225"/>
      <c r="I73" s="225"/>
      <c r="J73" s="226"/>
    </row>
    <row r="74" spans="2:10" ht="38.25" x14ac:dyDescent="0.25">
      <c r="B74" s="115" t="s">
        <v>498</v>
      </c>
      <c r="C74" s="2" t="str">
        <f>Orçamento!C77</f>
        <v>EMLURB 08.02.050</v>
      </c>
      <c r="D74" s="2" t="str">
        <f>Orçamento!D77</f>
        <v>COBERTURA COM TELHAS DE CHAPA ONDULADA DE ALUMINIO DE O,5 MM DE ESPESSURA.</v>
      </c>
      <c r="E74" s="2" t="str">
        <f>Orçamento!E77</f>
        <v>M2</v>
      </c>
      <c r="F74" s="329">
        <f>J74</f>
        <v>857.93</v>
      </c>
      <c r="G74" s="228">
        <v>25.21</v>
      </c>
      <c r="H74" s="228">
        <v>34.03</v>
      </c>
      <c r="I74" s="228"/>
      <c r="J74" s="229">
        <f>857.93</f>
        <v>857.93</v>
      </c>
    </row>
    <row r="75" spans="2:10" ht="51" x14ac:dyDescent="0.25">
      <c r="B75" s="115" t="s">
        <v>499</v>
      </c>
      <c r="C75" s="2" t="str">
        <f>Orçamento!C78</f>
        <v>COMPOSIÇÃO 13</v>
      </c>
      <c r="D75" s="2" t="str">
        <f>Orçamento!D78</f>
        <v>ESTRUTURA PARA COBERTURA TIPO FINK, EM ALUMINIO ANODIZADO, VAO DE 20M, ESPACAMENTO DAS TESOURAS 5M ATE 6,5M</v>
      </c>
      <c r="E75" s="2" t="str">
        <f>Orçamento!E78</f>
        <v>M2</v>
      </c>
      <c r="F75" s="329">
        <f>J75</f>
        <v>640.20000000000005</v>
      </c>
      <c r="G75" s="228">
        <v>12.51</v>
      </c>
      <c r="H75" s="228">
        <v>51.17</v>
      </c>
      <c r="I75" s="228"/>
      <c r="J75" s="229">
        <v>640.20000000000005</v>
      </c>
    </row>
    <row r="76" spans="2:10" ht="25.5" x14ac:dyDescent="0.25">
      <c r="B76" s="115" t="s">
        <v>500</v>
      </c>
      <c r="C76" s="2" t="str">
        <f>Orçamento!C79</f>
        <v>COMPOSIÇÃO 14</v>
      </c>
      <c r="D76" s="2" t="str">
        <f>Orçamento!D79</f>
        <v>RUFO EM CONCRETO ARMADO, LARGURA 40CM, ESPESSURA 3CM</v>
      </c>
      <c r="E76" s="2" t="str">
        <f>Orçamento!E79</f>
        <v>M</v>
      </c>
      <c r="F76" s="329">
        <f>J76</f>
        <v>103.43</v>
      </c>
      <c r="G76" s="228">
        <v>103.43</v>
      </c>
      <c r="H76" s="228"/>
      <c r="I76" s="228"/>
      <c r="J76" s="229">
        <f>G76</f>
        <v>103.43</v>
      </c>
    </row>
    <row r="77" spans="2:10" s="244" customFormat="1" ht="25.5" x14ac:dyDescent="0.25">
      <c r="B77" s="115" t="s">
        <v>501</v>
      </c>
      <c r="C77" s="2" t="str">
        <f>Orçamento!C80</f>
        <v>EMLURB 08.03.010</v>
      </c>
      <c r="D77" s="2" t="str">
        <f>Orçamento!D80</f>
        <v>CALHA DE CHAPA GALVANIZADA N. 26.</v>
      </c>
      <c r="E77" s="2" t="str">
        <f>Orçamento!E80</f>
        <v>M</v>
      </c>
      <c r="F77" s="329">
        <f>J77</f>
        <v>100.59</v>
      </c>
      <c r="G77" s="228">
        <v>100.59</v>
      </c>
      <c r="H77" s="228"/>
      <c r="I77" s="228"/>
      <c r="J77" s="229">
        <f>G77</f>
        <v>100.59</v>
      </c>
    </row>
    <row r="78" spans="2:10" s="244" customFormat="1" ht="76.5" x14ac:dyDescent="0.25">
      <c r="B78" s="115" t="s">
        <v>114</v>
      </c>
      <c r="C78" s="2" t="str">
        <f>Orçamento!C81</f>
        <v>COMPOSIÇÃO 15</v>
      </c>
      <c r="D78" s="2" t="str">
        <f>Orçamento!D81</f>
        <v>IMPERMEABILIZACAO DE SUPERFICIE COM MANTA ASFALTICA PROTEGIDA FILM E ALUMINIO GOFRADO (DE ESPESSURA 0,8MM), INCLUSA APLICACAO EMUL SAO ASFALTICA, E=3MM.</v>
      </c>
      <c r="E78" s="2" t="str">
        <f>Orçamento!E81</f>
        <v>M2</v>
      </c>
      <c r="F78" s="329">
        <f>J78</f>
        <v>217.73</v>
      </c>
      <c r="G78" s="228">
        <v>12.63</v>
      </c>
      <c r="H78" s="228">
        <f>J78/G78</f>
        <v>17.239113222486143</v>
      </c>
      <c r="I78" s="228"/>
      <c r="J78" s="229">
        <v>217.73</v>
      </c>
    </row>
    <row r="79" spans="2:10" s="244" customFormat="1" ht="63.75" x14ac:dyDescent="0.25">
      <c r="B79" s="115" t="s">
        <v>115</v>
      </c>
      <c r="C79" s="2" t="str">
        <f>Orçamento!C82</f>
        <v>SINAPI/19         96111</v>
      </c>
      <c r="D79" s="2" t="str">
        <f>Orçamento!D82</f>
        <v>FORRO EM RÉGUAS DE PVC, FRISADO, PARA AMBIENTES RESIDENCIAIS, INCLUSIVE ESTRUTURA DE FIXAÇÃO. AF_05/2017_P</v>
      </c>
      <c r="E79" s="2" t="str">
        <f>Orçamento!E82</f>
        <v>M2</v>
      </c>
      <c r="F79" s="329">
        <f>J79</f>
        <v>857.93</v>
      </c>
      <c r="G79" s="228">
        <v>25.21</v>
      </c>
      <c r="H79" s="228">
        <v>34.03</v>
      </c>
      <c r="I79" s="228"/>
      <c r="J79" s="229">
        <v>857.93</v>
      </c>
    </row>
    <row r="80" spans="2:10" s="244" customFormat="1" ht="76.5" x14ac:dyDescent="0.25">
      <c r="B80" s="115" t="s">
        <v>116</v>
      </c>
      <c r="C80" s="2" t="str">
        <f>Orçamento!C83</f>
        <v>SINAPI/19         74141/002</v>
      </c>
      <c r="D80" s="2" t="str">
        <f>Orçamento!D83</f>
        <v>LAJE PRE-MOLD BETA 12 P/3,5KN/M2 VAO 4,1M INCL VIGOTAS TIJOLOS ARMADURA NEGATIVA CAPEAMENTO 3CM CONCRETO 15MPA ESCORAMENTO MATERIAIS E MAO DE OBRA.</v>
      </c>
      <c r="E80" s="2" t="str">
        <f>Orçamento!E83</f>
        <v>M2</v>
      </c>
      <c r="F80" s="329">
        <f>J80</f>
        <v>217.73</v>
      </c>
      <c r="G80" s="228">
        <v>12.63</v>
      </c>
      <c r="H80" s="228">
        <f>J80/G80</f>
        <v>17.239113222486143</v>
      </c>
      <c r="I80" s="228"/>
      <c r="J80" s="229">
        <v>217.73</v>
      </c>
    </row>
    <row r="81" spans="2:10" x14ac:dyDescent="0.25">
      <c r="B81" s="222" t="str">
        <f>Orçamento!B84</f>
        <v>9.0</v>
      </c>
      <c r="C81" s="140"/>
      <c r="D81" s="140" t="str">
        <f>Orçamento!D84</f>
        <v>INSTALAÇÕES HIDRÁULICAS</v>
      </c>
      <c r="E81" s="223" t="str">
        <f>Orçamento!E84</f>
        <v/>
      </c>
      <c r="F81" s="224"/>
      <c r="G81" s="225"/>
      <c r="H81" s="225"/>
      <c r="I81" s="225"/>
      <c r="J81" s="226"/>
    </row>
    <row r="82" spans="2:10" x14ac:dyDescent="0.25">
      <c r="B82" s="115"/>
      <c r="C82" s="2"/>
      <c r="D82" s="2" t="str">
        <f>Orçamento!D85</f>
        <v>ESGOTO</v>
      </c>
      <c r="E82" s="2"/>
      <c r="F82" s="2"/>
      <c r="G82" s="228"/>
      <c r="H82" s="228"/>
      <c r="I82" s="228"/>
      <c r="J82" s="229"/>
    </row>
    <row r="83" spans="2:10" ht="63.75" x14ac:dyDescent="0.25">
      <c r="B83" s="115" t="s">
        <v>455</v>
      </c>
      <c r="C83" s="2" t="str">
        <f>Orçamento!C86</f>
        <v xml:space="preserve">EMLURB -        19.01.020 </v>
      </c>
      <c r="D83" s="2" t="str">
        <f>Orçamento!D86</f>
        <v>PONTO DE ESGOTO PARA PIA OU LAVANDARIA,INCLUSIVE TUBULACOES E CONEXOES EM PVC RIGIDO SOLDAVEIS , ATE A COLUNA OU O SUB-COLETOR.</v>
      </c>
      <c r="E83" s="2" t="str">
        <f>Orçamento!E86</f>
        <v>PT</v>
      </c>
      <c r="F83" s="329">
        <f>Orçamento!F86</f>
        <v>12</v>
      </c>
      <c r="G83" s="228"/>
      <c r="H83" s="228"/>
      <c r="I83" s="228"/>
      <c r="J83" s="229">
        <f>F83</f>
        <v>12</v>
      </c>
    </row>
    <row r="84" spans="2:10" ht="63.75" x14ac:dyDescent="0.25">
      <c r="B84" s="115" t="s">
        <v>159</v>
      </c>
      <c r="C84" s="2" t="str">
        <f>Orçamento!C87</f>
        <v>EMLURB - 19.01.010</v>
      </c>
      <c r="D84" s="2" t="str">
        <f>Orçamento!D87</f>
        <v>PONTO DE ESGOTO PARA BACIA SANITARIA, IN-   CLUSIVE TUBULACOES E CONEXOES EM PVC RIGI   DO SOLDAVEIS, ATE A COLUNA OU O SUB-COLE-   TOR</v>
      </c>
      <c r="E84" s="2" t="str">
        <f>Orçamento!E87</f>
        <v>PT</v>
      </c>
      <c r="F84" s="329">
        <f>Orçamento!F87</f>
        <v>14</v>
      </c>
      <c r="G84" s="228"/>
      <c r="H84" s="228"/>
      <c r="I84" s="228"/>
      <c r="J84" s="229">
        <f t="shared" ref="J84:J88" si="8">F84</f>
        <v>14</v>
      </c>
    </row>
    <row r="85" spans="2:10" ht="63.75" x14ac:dyDescent="0.25">
      <c r="B85" s="115" t="s">
        <v>118</v>
      </c>
      <c r="C85" s="2" t="str">
        <f>Orçamento!C88</f>
        <v>EMLURB - 19.01.030</v>
      </c>
      <c r="D85" s="2" t="str">
        <f>Orçamento!D88</f>
        <v>PONTO DE ESGOTO PARA LAVATORIO OU MICTORIO, INCLUSIVE TUBULACOES E CONEXOES EM PVC RIGI DO SOLDAVEIS, ATE A COLUNA OU O SUB-COLETOR</v>
      </c>
      <c r="E85" s="2" t="str">
        <f>Orçamento!E88</f>
        <v>PT</v>
      </c>
      <c r="F85" s="329">
        <f>Orçamento!F88</f>
        <v>28</v>
      </c>
      <c r="G85" s="230"/>
      <c r="H85" s="230"/>
      <c r="I85" s="230"/>
      <c r="J85" s="229">
        <f t="shared" si="8"/>
        <v>28</v>
      </c>
    </row>
    <row r="86" spans="2:10" ht="63.75" x14ac:dyDescent="0.25">
      <c r="B86" s="115" t="s">
        <v>119</v>
      </c>
      <c r="C86" s="2" t="str">
        <f>Orçamento!C89</f>
        <v>EMLURB - 19.01.040</v>
      </c>
      <c r="D86" s="2" t="str">
        <f>Orçamento!D89</f>
        <v>PONTO DE ESGOTO PARA RALO SIFONADO, INCLUSIVE RALO, TUBULACOES E CONEXOES EM PVC RIGIDO SOLDAVEIS , ATE A COLUNA OU O SUBCOLETOR.</v>
      </c>
      <c r="E86" s="2" t="str">
        <f>Orçamento!E89</f>
        <v>PT</v>
      </c>
      <c r="F86" s="329">
        <f>Orçamento!F89</f>
        <v>46</v>
      </c>
      <c r="G86" s="228"/>
      <c r="H86" s="228"/>
      <c r="I86" s="228"/>
      <c r="J86" s="229">
        <f t="shared" si="8"/>
        <v>46</v>
      </c>
    </row>
    <row r="87" spans="2:10" ht="114.75" x14ac:dyDescent="0.25">
      <c r="B87" s="115" t="s">
        <v>120</v>
      </c>
      <c r="C87" s="2" t="str">
        <f>Orçamento!C90</f>
        <v>EMLURB - 19.06.010</v>
      </c>
      <c r="D87" s="2" t="str">
        <f>Orçamento!D90</f>
        <v>CAIXA COLETORA DE INSPECAO OU DE AREIA C/ PAREDES
EM ALVENARIA , LAJE DE TAMPA E DE FUNDO
EM CONCRETO, REVESTIDA INTERNAMENTE COM ARGAMASSADE CIMENTO E AREIA 1:4,DIMENSOES INTERNAS 0,50 X 0,50 M, COM PROFUNDIDADE ATE 0,8M.</v>
      </c>
      <c r="E87" s="2" t="str">
        <f>Orçamento!E90</f>
        <v>UNID</v>
      </c>
      <c r="F87" s="329">
        <f>Orçamento!F90</f>
        <v>10</v>
      </c>
      <c r="G87" s="228"/>
      <c r="H87" s="228"/>
      <c r="I87" s="228"/>
      <c r="J87" s="229">
        <f t="shared" si="8"/>
        <v>10</v>
      </c>
    </row>
    <row r="88" spans="2:10" ht="114.75" x14ac:dyDescent="0.25">
      <c r="B88" s="115" t="s">
        <v>121</v>
      </c>
      <c r="C88" s="2" t="str">
        <f>Orçamento!C91</f>
        <v>EMLURB - 19.06.020</v>
      </c>
      <c r="D88" s="2" t="str">
        <f>Orçamento!D91</f>
        <v>CAIXA COLETORA DE INSPECAO OU DE AREIA C/ PAREDES
EM ALVENARIA, LAJE DE TAMPA E DE FUNDO
EM CONCRETO, REVESTIDA INTERNAMENTE COM ARGAMASSA DE CIMENTO E AREIA 1:4, DIMENSOES INTERNAS 0,60 X 0,60 M, COM PROFUNDIDADE ATE 1,0M.</v>
      </c>
      <c r="E88" s="2" t="str">
        <f>Orçamento!E91</f>
        <v>UNID</v>
      </c>
      <c r="F88" s="329">
        <f>Orçamento!F91</f>
        <v>3</v>
      </c>
      <c r="G88" s="228"/>
      <c r="H88" s="228"/>
      <c r="I88" s="228"/>
      <c r="J88" s="229">
        <f t="shared" si="8"/>
        <v>3</v>
      </c>
    </row>
    <row r="89" spans="2:10" x14ac:dyDescent="0.25">
      <c r="B89" s="115"/>
      <c r="C89" s="2"/>
      <c r="D89" s="2" t="str">
        <f>Orçamento!D92</f>
        <v>ÁGUA FRIA/ ACESSÓRIOS</v>
      </c>
      <c r="E89" s="2"/>
      <c r="F89" s="2"/>
      <c r="G89" s="228"/>
      <c r="H89" s="228"/>
      <c r="I89" s="228"/>
      <c r="J89" s="229"/>
    </row>
    <row r="90" spans="2:10" ht="76.5" x14ac:dyDescent="0.25">
      <c r="B90" s="115" t="s">
        <v>122</v>
      </c>
      <c r="C90" s="2" t="str">
        <f>Orçamento!C93</f>
        <v>EMLURB - 19.07.010</v>
      </c>
      <c r="D90" s="2" t="str">
        <f>Orçamento!D93</f>
        <v>PONTO DE AGUA, INCLUSIVE TUBULACOES E CONE
XOES DE PVC RIGIDO SOLDAVEL E ABERTURA DE RASGOS EM ALVENARIA , ATE O REGISTRO GERAL DO AMBIENTE.</v>
      </c>
      <c r="E90" s="2" t="str">
        <f>Orçamento!E93</f>
        <v>PT</v>
      </c>
      <c r="F90" s="329">
        <f>Orçamento!F93</f>
        <v>73</v>
      </c>
      <c r="G90" s="228"/>
      <c r="H90" s="228"/>
      <c r="I90" s="228"/>
      <c r="J90" s="229">
        <f>F90</f>
        <v>73</v>
      </c>
    </row>
    <row r="91" spans="2:10" ht="76.5" x14ac:dyDescent="0.25">
      <c r="B91" s="115" t="s">
        <v>132</v>
      </c>
      <c r="C91" s="2" t="str">
        <f>Orçamento!C94</f>
        <v>EMLURB - 19.07.030</v>
      </c>
      <c r="D91" s="2" t="str">
        <f>Orçamento!D94</f>
        <v>FORNECIMENTO E ASSENTAMENTO DE LAVATORIO SIM
PLES, GRANDE, SEM COLUNA, DE LOUCA BRANCA, CELITE,LINHA SAVEIRO OU SIMILAR, INCLUSIVE ACESSORIOS CORRESPONDENTES.</v>
      </c>
      <c r="E91" s="2" t="str">
        <f>Orçamento!E94</f>
        <v>CJ</v>
      </c>
      <c r="F91" s="329">
        <f>Orçamento!F94</f>
        <v>18</v>
      </c>
      <c r="G91" s="228"/>
      <c r="H91" s="228"/>
      <c r="I91" s="228"/>
      <c r="J91" s="229">
        <f t="shared" ref="J91:J104" si="9">F91</f>
        <v>18</v>
      </c>
    </row>
    <row r="92" spans="2:10" ht="76.5" x14ac:dyDescent="0.25">
      <c r="B92" s="115" t="s">
        <v>133</v>
      </c>
      <c r="C92" s="2" t="str">
        <f>Orçamento!C95</f>
        <v>EMLURB - 19.07.100</v>
      </c>
      <c r="D92" s="2" t="str">
        <f>Orçamento!D95</f>
        <v>FORNECIMENTO E ASSENTAMENTO DE CUBA SIMPLES
DE ACO INOXIDAVEL, MEKAL OU SIMILAR, NAS DIMENSOES 0.40 X 0,34 X 0,15 M, INCLUSIVE ACESSORIOS CORRESPONDENTES.</v>
      </c>
      <c r="E92" s="2" t="str">
        <f>Orçamento!E95</f>
        <v>UNID</v>
      </c>
      <c r="F92" s="329">
        <f>Orçamento!F95</f>
        <v>14</v>
      </c>
      <c r="G92" s="228"/>
      <c r="H92" s="228"/>
      <c r="I92" s="228"/>
      <c r="J92" s="229">
        <f t="shared" si="9"/>
        <v>14</v>
      </c>
    </row>
    <row r="93" spans="2:10" ht="89.25" x14ac:dyDescent="0.25">
      <c r="B93" s="115" t="s">
        <v>161</v>
      </c>
      <c r="C93" s="2" t="str">
        <f>Orçamento!C96</f>
        <v>EMLURB - 19.07.060</v>
      </c>
      <c r="D93" s="2" t="str">
        <f>Orçamento!D96</f>
        <v>FORNECIMENTO E ASSENTAMENTO DE MICTORIO SIFO
NADO PARA PAREDE DE LOUCA BRANCA CELITE LINHA INSTITUCIONAIS OU SIMILAR, INCLUSIVE ACESSORIOS CORRESPONDENTES.</v>
      </c>
      <c r="E93" s="2" t="str">
        <f>Orçamento!E96</f>
        <v>UNID</v>
      </c>
      <c r="F93" s="329">
        <f>Orçamento!F96</f>
        <v>3</v>
      </c>
      <c r="G93" s="228"/>
      <c r="H93" s="228"/>
      <c r="I93" s="228"/>
      <c r="J93" s="229">
        <f t="shared" si="9"/>
        <v>3</v>
      </c>
    </row>
    <row r="94" spans="2:10" ht="63.75" x14ac:dyDescent="0.25">
      <c r="B94" s="115" t="s">
        <v>162</v>
      </c>
      <c r="C94" s="2" t="str">
        <f>Orçamento!C97</f>
        <v>EMLURB - 19.07.180</v>
      </c>
      <c r="D94" s="2" t="str">
        <f>Orçamento!D97</f>
        <v>FORNECIMENTO DE CHUVEIRO COM ARTICULACAO, DIA METRO DE 1/2 POL. COM ACABAMENTO CROMADO,REF.C 1991-FABRIMAR OU SIMILAR, INCLUSIVE FIXACAO</v>
      </c>
      <c r="E94" s="2" t="str">
        <f>Orçamento!E97</f>
        <v>UNID</v>
      </c>
      <c r="F94" s="329">
        <f>Orçamento!F97</f>
        <v>10</v>
      </c>
      <c r="G94" s="228"/>
      <c r="H94" s="228"/>
      <c r="I94" s="228"/>
      <c r="J94" s="229">
        <f t="shared" si="9"/>
        <v>10</v>
      </c>
    </row>
    <row r="95" spans="2:10" ht="51" x14ac:dyDescent="0.25">
      <c r="B95" s="115" t="s">
        <v>163</v>
      </c>
      <c r="C95" s="2" t="str">
        <f>Orçamento!C98</f>
        <v>SINAPI/19      86888</v>
      </c>
      <c r="D95" s="2" t="str">
        <f>Orçamento!D98</f>
        <v>VASO SANITÁRIO SIFONADO COM CAIXA ACOPLADA LOUÇA BRANCA - FORNECIMENTO E INSTALAÇÃO. AF_12/2013</v>
      </c>
      <c r="E95" s="2" t="str">
        <f>Orçamento!E98</f>
        <v>UNID</v>
      </c>
      <c r="F95" s="329">
        <f>Orçamento!F98</f>
        <v>12</v>
      </c>
      <c r="G95" s="228"/>
      <c r="H95" s="228"/>
      <c r="I95" s="228"/>
      <c r="J95" s="229">
        <f t="shared" si="9"/>
        <v>12</v>
      </c>
    </row>
    <row r="96" spans="2:10" ht="51" x14ac:dyDescent="0.25">
      <c r="B96" s="115" t="s">
        <v>164</v>
      </c>
      <c r="C96" s="2" t="str">
        <f>Orçamento!C99</f>
        <v>EMLURB - 19.07.260</v>
      </c>
      <c r="D96" s="2" t="str">
        <f>Orçamento!D99</f>
        <v>FORNECIMENTO DE TORNEIRA DE PRESSAO PARA PIA DIAMETRO 1/2", REF. 1159 C-39, DECA OU SIMILAR, INCLUSIVE FIXACAO.</v>
      </c>
      <c r="E96" s="2" t="str">
        <f>Orçamento!E99</f>
        <v>UNID</v>
      </c>
      <c r="F96" s="329">
        <f>Orçamento!F99</f>
        <v>39</v>
      </c>
      <c r="G96" s="228"/>
      <c r="H96" s="228"/>
      <c r="I96" s="228"/>
      <c r="J96" s="229">
        <f t="shared" si="9"/>
        <v>39</v>
      </c>
    </row>
    <row r="97" spans="2:10" ht="51" x14ac:dyDescent="0.25">
      <c r="B97" s="115" t="s">
        <v>368</v>
      </c>
      <c r="C97" s="2" t="str">
        <f>Orçamento!C100</f>
        <v>EMLURB - 19.07.070</v>
      </c>
      <c r="D97" s="2" t="str">
        <f>Orçamento!D100</f>
        <v>FORNECIMENTO E ASSENTAMENTO DE SABONETEIRA DE LOUCA BRANCA,CELITE OU SIMILAR, NAS DIMENSOES 7.5 X 15 CM.</v>
      </c>
      <c r="E97" s="2" t="str">
        <f>Orçamento!E100</f>
        <v>UNID</v>
      </c>
      <c r="F97" s="329">
        <f>Orçamento!F100</f>
        <v>25</v>
      </c>
      <c r="G97" s="228"/>
      <c r="H97" s="228"/>
      <c r="I97" s="228"/>
      <c r="J97" s="229">
        <f t="shared" si="9"/>
        <v>25</v>
      </c>
    </row>
    <row r="98" spans="2:10" ht="51" x14ac:dyDescent="0.25">
      <c r="B98" s="115" t="s">
        <v>369</v>
      </c>
      <c r="C98" s="2" t="str">
        <f>Orçamento!C101</f>
        <v>EMLURB - 19.07.090</v>
      </c>
      <c r="D98" s="2" t="str">
        <f>Orçamento!D101</f>
        <v>FORNECIMENTO E ASSENTAMENTO DE PAPELEIRA DE LOUCA BRANCA, CELITE OU SIMILAR,NAS DIMENSOES 15 X 15 CM.</v>
      </c>
      <c r="E98" s="2" t="str">
        <f>Orçamento!E101</f>
        <v>UNID</v>
      </c>
      <c r="F98" s="329">
        <f>Orçamento!F101</f>
        <v>12</v>
      </c>
      <c r="G98" s="228"/>
      <c r="H98" s="228"/>
      <c r="I98" s="228"/>
      <c r="J98" s="229">
        <f t="shared" si="9"/>
        <v>12</v>
      </c>
    </row>
    <row r="99" spans="2:10" ht="63.75" x14ac:dyDescent="0.25">
      <c r="B99" s="115" t="s">
        <v>370</v>
      </c>
      <c r="C99" s="2" t="str">
        <f>Orçamento!C102</f>
        <v>EMLURB - 19.07.340</v>
      </c>
      <c r="D99" s="2" t="str">
        <f>Orçamento!D102</f>
        <v>FORNECIMENTO DE REGISTRO DE PRESSAO COM CANOPLA, ACABAMENTO CROMADO, REF.1416, FABRIMAR O SIMILAR DE 1/2 POL., INCLUSIVE FIXACAO.</v>
      </c>
      <c r="E99" s="2" t="str">
        <f>Orçamento!E102</f>
        <v>UNID</v>
      </c>
      <c r="F99" s="329">
        <f>Orçamento!F102</f>
        <v>13</v>
      </c>
      <c r="G99" s="228"/>
      <c r="H99" s="228"/>
      <c r="I99" s="228"/>
      <c r="J99" s="229">
        <f t="shared" si="9"/>
        <v>13</v>
      </c>
    </row>
    <row r="100" spans="2:10" ht="76.5" x14ac:dyDescent="0.25">
      <c r="B100" s="115" t="s">
        <v>371</v>
      </c>
      <c r="C100" s="2" t="str">
        <f>Orçamento!C103</f>
        <v>EMLURB - 19.07.350</v>
      </c>
      <c r="D100" s="2" t="str">
        <f>Orçamento!D103</f>
        <v>FORNECIMENTO DE REGISTRO DE PRESSAO COM CANOPLA
ACABAMENTO CROMADO, REF.1416, DECA 50 OU SIMILAR, LINHA PRATA, DIAMETRO DE 3/4 POL.,INCLUSIVE FIXACAO.</v>
      </c>
      <c r="E100" s="2" t="str">
        <f>Orçamento!E103</f>
        <v>UNID</v>
      </c>
      <c r="F100" s="329">
        <f>Orçamento!F103</f>
        <v>13</v>
      </c>
      <c r="G100" s="228"/>
      <c r="H100" s="228"/>
      <c r="I100" s="228"/>
      <c r="J100" s="229">
        <f t="shared" si="9"/>
        <v>13</v>
      </c>
    </row>
    <row r="101" spans="2:10" ht="76.5" x14ac:dyDescent="0.25">
      <c r="B101" s="115" t="s">
        <v>502</v>
      </c>
      <c r="C101" s="2" t="str">
        <f>Orçamento!C104</f>
        <v>EMLURB - 19.07.430</v>
      </c>
      <c r="D101" s="2" t="str">
        <f>Orçamento!D104</f>
        <v>FORNECIMENTO DE REGISTRO DE GAVETA COM CANOPLA,
ACABAMENTO CROMADO, REF.1509-C39,DECA OU SIMILAR, LINHA PRATA, DIAMETRO DE 1.1/2 POL., INCLUSIVE FIXACAO.</v>
      </c>
      <c r="E101" s="2" t="str">
        <f>Orçamento!E104</f>
        <v>UNID</v>
      </c>
      <c r="F101" s="329">
        <f>Orçamento!F104</f>
        <v>6</v>
      </c>
      <c r="G101" s="228"/>
      <c r="H101" s="228"/>
      <c r="I101" s="228"/>
      <c r="J101" s="229">
        <f t="shared" si="9"/>
        <v>6</v>
      </c>
    </row>
    <row r="102" spans="2:10" ht="25.5" x14ac:dyDescent="0.25">
      <c r="B102" s="115" t="s">
        <v>503</v>
      </c>
      <c r="C102" s="2" t="str">
        <f>Orçamento!C105</f>
        <v>SINAPI/19   88503</v>
      </c>
      <c r="D102" s="2" t="str">
        <f>Orçamento!D105</f>
        <v>CAIXA D´ÁGUA EM POLIETILENO, 1000 LITROS, COM ACESSÓRIOS</v>
      </c>
      <c r="E102" s="2" t="str">
        <f>Orçamento!E105</f>
        <v>UNID</v>
      </c>
      <c r="F102" s="329">
        <f>Orçamento!F105</f>
        <v>3</v>
      </c>
      <c r="G102" s="228"/>
      <c r="H102" s="228"/>
      <c r="I102" s="228"/>
      <c r="J102" s="229">
        <f t="shared" si="9"/>
        <v>3</v>
      </c>
    </row>
    <row r="103" spans="2:10" s="244" customFormat="1" ht="51" x14ac:dyDescent="0.25">
      <c r="B103" s="115" t="s">
        <v>504</v>
      </c>
      <c r="C103" s="2" t="str">
        <f>Orçamento!C106</f>
        <v>SINAPI/19      86888</v>
      </c>
      <c r="D103" s="2" t="str">
        <f>Orçamento!D106</f>
        <v>VASO SANITÁRIO SIFONADO COM CAIXA ACOPLADA LOUÇA BRANCA - FORNECIMENTO E INSTALAÇÃO. AF_12/2013</v>
      </c>
      <c r="E103" s="2" t="str">
        <f>Orçamento!E106</f>
        <v>UNID</v>
      </c>
      <c r="F103" s="329">
        <f>Orçamento!F106</f>
        <v>12</v>
      </c>
      <c r="G103" s="228"/>
      <c r="H103" s="228"/>
      <c r="I103" s="228"/>
      <c r="J103" s="229">
        <f t="shared" si="9"/>
        <v>12</v>
      </c>
    </row>
    <row r="104" spans="2:10" s="244" customFormat="1" ht="89.25" x14ac:dyDescent="0.25">
      <c r="B104" s="115" t="s">
        <v>505</v>
      </c>
      <c r="C104" s="2" t="str">
        <f>Orçamento!C107</f>
        <v>SINAPI/19      95472</v>
      </c>
      <c r="D104" s="2" t="str">
        <f>Orçamento!D107</f>
        <v>VASO SANITARIO SIFONADO CONVENCIONAL PARA PCD SEM FURO FRONTAL COM LOUÇA BRANCA SEM ASSENTO, INCLUSO CONJUNTO DE LIGAÇÃO PARA BACIA SANITÁRIA AJUSTÁVEL - FORNECIMENTO E INSTALAÇÃO. AF_10/201</v>
      </c>
      <c r="E104" s="2" t="str">
        <f>Orçamento!E107</f>
        <v>UNID</v>
      </c>
      <c r="F104" s="329">
        <f>Orçamento!F107</f>
        <v>2</v>
      </c>
      <c r="G104" s="228"/>
      <c r="H104" s="228"/>
      <c r="I104" s="228"/>
      <c r="J104" s="229">
        <f t="shared" si="9"/>
        <v>2</v>
      </c>
    </row>
    <row r="105" spans="2:10" x14ac:dyDescent="0.25">
      <c r="B105" s="222" t="str">
        <f>Orçamento!B108</f>
        <v>10.0</v>
      </c>
      <c r="C105" s="140"/>
      <c r="D105" s="140" t="str">
        <f>Orçamento!D108</f>
        <v>INSTALAÇÕES ELÉTRICAS</v>
      </c>
      <c r="E105" s="223" t="str">
        <f>Orçamento!E108</f>
        <v/>
      </c>
      <c r="F105" s="224"/>
      <c r="G105" s="225"/>
      <c r="H105" s="225"/>
      <c r="I105" s="225"/>
      <c r="J105" s="226"/>
    </row>
    <row r="106" spans="2:10" ht="51" x14ac:dyDescent="0.25">
      <c r="B106" s="115" t="s">
        <v>189</v>
      </c>
      <c r="C106" s="2" t="str">
        <f>Orçamento!C109</f>
        <v>EMLURB - 18 18.02.040</v>
      </c>
      <c r="D106" s="2" t="str">
        <f>Orçamento!D109</f>
        <v xml:space="preserve">POSTE DE CONCRETO SECCAO DUPLO T, 200/12, COM ENGASTAMENTO DIRETO NO SOLO DE 1,80 M, INCLUSIVE COLOCACAO. </v>
      </c>
      <c r="E106" s="2" t="str">
        <f>Orçamento!E109</f>
        <v>UNID</v>
      </c>
      <c r="F106" s="329">
        <f>Orçamento!F109</f>
        <v>1</v>
      </c>
      <c r="G106" s="230"/>
      <c r="H106" s="230"/>
      <c r="I106" s="230"/>
      <c r="J106" s="232">
        <f>F106</f>
        <v>1</v>
      </c>
    </row>
    <row r="107" spans="2:10" ht="76.5" x14ac:dyDescent="0.25">
      <c r="B107" s="115" t="s">
        <v>190</v>
      </c>
      <c r="C107" s="2" t="str">
        <f>Orçamento!C110</f>
        <v>SINAPI/19     83400</v>
      </c>
      <c r="D107" s="2" t="str">
        <f>Orçamento!D110</f>
        <v>BRACO P/ ILUMINACAO DE RUAS EM TUBO ACO GALV 1" COMP = 1,20M E INCLINACAO 25GRAUS EM RELACAO AO PLANO VERTICAL P/ FIXACAO EM POSTE OU PAREDE - FORNECIMENTO E INSTALACAO</v>
      </c>
      <c r="E107" s="2" t="str">
        <f>Orçamento!E110</f>
        <v>UNID</v>
      </c>
      <c r="F107" s="329">
        <f>Orçamento!F110</f>
        <v>1</v>
      </c>
      <c r="G107" s="228"/>
      <c r="H107" s="228"/>
      <c r="I107" s="228"/>
      <c r="J107" s="232">
        <f t="shared" ref="J107:J115" si="10">F107</f>
        <v>1</v>
      </c>
    </row>
    <row r="108" spans="2:10" ht="51" x14ac:dyDescent="0.25">
      <c r="B108" s="115" t="s">
        <v>506</v>
      </c>
      <c r="C108" s="2" t="str">
        <f>Orçamento!C111</f>
        <v>COMPOSIÇÃO 16</v>
      </c>
      <c r="D108" s="2" t="str">
        <f>Orçamento!D111</f>
        <v>CAIXA DE PROTECAO PARA 1 MEDIDOR TRIFASICO, EM CHAPA DE ACO 20 USG (PADRAO DA CONCESSIONARIA LOCAL)</v>
      </c>
      <c r="E108" s="2" t="str">
        <f>Orçamento!E111</f>
        <v>UNID</v>
      </c>
      <c r="F108" s="329">
        <f>Orçamento!F111</f>
        <v>1</v>
      </c>
      <c r="G108" s="228"/>
      <c r="H108" s="228"/>
      <c r="I108" s="228"/>
      <c r="J108" s="232">
        <f t="shared" si="10"/>
        <v>1</v>
      </c>
    </row>
    <row r="109" spans="2:10" ht="51" x14ac:dyDescent="0.25">
      <c r="B109" s="115" t="s">
        <v>507</v>
      </c>
      <c r="C109" s="2" t="str">
        <f>Orçamento!C112</f>
        <v>SINAPI/19   97600</v>
      </c>
      <c r="D109" s="2" t="str">
        <f>Orçamento!D112</f>
        <v>REFLETOR EM ALUMÍNIO COM SUPORTE E ALÇA, LÂMPADA 125 W - FORNECIMENTO E INSTALAÇÃO. AF_11/2017</v>
      </c>
      <c r="E109" s="2" t="str">
        <f>Orçamento!E112</f>
        <v>UNID</v>
      </c>
      <c r="F109" s="329">
        <f>Orçamento!F112</f>
        <v>5</v>
      </c>
      <c r="G109" s="228"/>
      <c r="H109" s="228"/>
      <c r="I109" s="228"/>
      <c r="J109" s="232">
        <f t="shared" si="10"/>
        <v>5</v>
      </c>
    </row>
    <row r="110" spans="2:10" ht="51" x14ac:dyDescent="0.25">
      <c r="B110" s="115" t="s">
        <v>508</v>
      </c>
      <c r="C110" s="2" t="str">
        <f>Orçamento!C113</f>
        <v>SINAPI/19   97592</v>
      </c>
      <c r="D110" s="2" t="str">
        <f>Orçamento!D113</f>
        <v>LUMINÁRIA TIPO PLAFON, DE SOBREPOR, COM 1 LÂMPADA LED - FORNECIMENTO E INSTALAÇÃO. AF_11/201</v>
      </c>
      <c r="E110" s="2" t="str">
        <f>Orçamento!E113</f>
        <v>UNID</v>
      </c>
      <c r="F110" s="329">
        <f>Orçamento!F113</f>
        <v>167</v>
      </c>
      <c r="G110" s="228"/>
      <c r="H110" s="228"/>
      <c r="I110" s="228"/>
      <c r="J110" s="232">
        <f t="shared" si="10"/>
        <v>167</v>
      </c>
    </row>
    <row r="111" spans="2:10" ht="102" x14ac:dyDescent="0.25">
      <c r="B111" s="115" t="s">
        <v>509</v>
      </c>
      <c r="C111" s="2" t="str">
        <f>Orçamento!C114</f>
        <v>EMLURB - 18 18.22.070</v>
      </c>
      <c r="D111" s="2" t="str">
        <f>Orçamento!D114</f>
        <v>PONTO DE TOMADA UNIVERSAL (2P+1 T),PIAL OU SI
MILAR P/ 2000 W INCLUSIVE TUBULACAO PVC RIGIDO,
FIACAO, CAIXA 4 X 2 POL.TIGREFLEX OU SIMILAR, PLACA E DEMAIS ACESSORIOS ATE O QUADRO DE DISTRIBUICAO.</v>
      </c>
      <c r="E111" s="2" t="str">
        <f>Orçamento!E114</f>
        <v>PT</v>
      </c>
      <c r="F111" s="329">
        <f>Orçamento!F114</f>
        <v>231</v>
      </c>
      <c r="G111" s="228"/>
      <c r="H111" s="228"/>
      <c r="I111" s="228"/>
      <c r="J111" s="232">
        <f t="shared" si="10"/>
        <v>231</v>
      </c>
    </row>
    <row r="112" spans="2:10" ht="51" x14ac:dyDescent="0.25">
      <c r="B112" s="115" t="s">
        <v>510</v>
      </c>
      <c r="C112" s="2" t="str">
        <f>Orçamento!C115</f>
        <v>EMLURB - 18 18.16.010</v>
      </c>
      <c r="D112" s="2" t="str">
        <f>Orçamento!D115</f>
        <v>TOMADA DE EMBUTIR (2P+1T) C/PLACA P/ CAIXA DE 4 X 2 POL.,20A, 250V, PIAL (LINHA SILENTOQUE) OU SIMILAR, INCLUSIVE INSTALACAO.</v>
      </c>
      <c r="E112" s="2" t="str">
        <f>Orçamento!E115</f>
        <v>UNID</v>
      </c>
      <c r="F112" s="329">
        <f>Orçamento!F115</f>
        <v>231</v>
      </c>
      <c r="G112" s="228"/>
      <c r="H112" s="228"/>
      <c r="I112" s="228"/>
      <c r="J112" s="232">
        <f t="shared" si="10"/>
        <v>231</v>
      </c>
    </row>
    <row r="113" spans="2:10" ht="63.75" x14ac:dyDescent="0.25">
      <c r="B113" s="115" t="s">
        <v>511</v>
      </c>
      <c r="C113" s="2" t="str">
        <f>Orçamento!C116</f>
        <v>EMLURB - 18 18.22.010</v>
      </c>
      <c r="D113" s="2" t="str">
        <f>Orçamento!D116</f>
        <v>PONTO DE LUZ EM TETO OU PAREDE, INCLUINDO CAIXA 4 X 4 POL. TIGREFLEX OU SIMILAR, TUBULACAO PVC RIGIDO E FIACAO, ATE O QUADRO DE DISTRIBUICAO.</v>
      </c>
      <c r="E113" s="2" t="str">
        <f>Orçamento!E116</f>
        <v>PT</v>
      </c>
      <c r="F113" s="329">
        <f>Orçamento!F116</f>
        <v>165</v>
      </c>
      <c r="G113" s="228"/>
      <c r="H113" s="228"/>
      <c r="I113" s="228"/>
      <c r="J113" s="232">
        <f t="shared" si="10"/>
        <v>165</v>
      </c>
    </row>
    <row r="114" spans="2:10" ht="89.25" x14ac:dyDescent="0.25">
      <c r="B114" s="115" t="s">
        <v>512</v>
      </c>
      <c r="C114" s="2" t="str">
        <f>Orçamento!C117</f>
        <v>EMLURB - 18 18.22.020</v>
      </c>
      <c r="D114" s="2" t="str">
        <f>Orçamento!D117</f>
        <v>PONTO DE INTERRUPTOR DE UMA SECCAO, PIAL OU
SIMILAR,INCLUSIVE TUBULACAO PVC RIGIDO, FIACAO, CX. 4 X 2 POL. TIGREFLEX OU SIMILAR PLACA E DEMAIS ACESSORIOS, ATE O PONTO DE LUZ.</v>
      </c>
      <c r="E114" s="2" t="str">
        <f>Orçamento!E117</f>
        <v>PT</v>
      </c>
      <c r="F114" s="329">
        <f>Orçamento!F117</f>
        <v>75</v>
      </c>
      <c r="G114" s="228"/>
      <c r="H114" s="228"/>
      <c r="I114" s="228"/>
      <c r="J114" s="232">
        <f t="shared" si="10"/>
        <v>75</v>
      </c>
    </row>
    <row r="115" spans="2:10" ht="63.75" x14ac:dyDescent="0.25">
      <c r="B115" s="115" t="s">
        <v>513</v>
      </c>
      <c r="C115" s="2" t="str">
        <f>Orçamento!C118</f>
        <v>EMLURB - 18 18.18.010</v>
      </c>
      <c r="D115" s="2" t="str">
        <f>Orçamento!D118</f>
        <v>INTERRUPTOR DE EMBUTIR DE UMA SECCAO PARA CAIXA DE 4 X 2 POL., COM PLACA, 10A, 250V, PIAL (LINHA SILENTOQUE) OU SIMILAR, INCLUSIVE INSTALACAO.</v>
      </c>
      <c r="E115" s="2" t="str">
        <f>Orçamento!E118</f>
        <v>UNID</v>
      </c>
      <c r="F115" s="329">
        <f>Orçamento!F118</f>
        <v>45</v>
      </c>
      <c r="G115" s="228"/>
      <c r="H115" s="228"/>
      <c r="I115" s="228"/>
      <c r="J115" s="232">
        <f t="shared" si="10"/>
        <v>45</v>
      </c>
    </row>
    <row r="116" spans="2:10" x14ac:dyDescent="0.25">
      <c r="B116" s="115"/>
      <c r="C116" s="2"/>
      <c r="D116" s="2" t="str">
        <f>Orçamento!D119</f>
        <v>SPDA</v>
      </c>
      <c r="E116" s="2"/>
      <c r="F116" s="329"/>
      <c r="G116" s="228"/>
      <c r="H116" s="228"/>
      <c r="I116" s="228"/>
      <c r="J116" s="229"/>
    </row>
    <row r="117" spans="2:10" ht="76.5" x14ac:dyDescent="0.25">
      <c r="B117" s="115" t="s">
        <v>514</v>
      </c>
      <c r="C117" s="2" t="str">
        <f>Orçamento!C120</f>
        <v>EMLURB - 18 18.26.010</v>
      </c>
      <c r="D117" s="2" t="str">
        <f>Orçamento!D120</f>
        <v>ASSENTAMENTO DE HASTE DE ATERRAMENTO DE 5/8"X
2.40 M COPPERWELD OU SIMILAR,COM CONECTOR PARALELO E PARAFUSOS (INCLUSIVE O FORNECIMENTO DO MATERIAL).</v>
      </c>
      <c r="E117" s="2" t="str">
        <f>Orçamento!E120</f>
        <v>UNID</v>
      </c>
      <c r="F117" s="329">
        <f>Orçamento!F120</f>
        <v>25</v>
      </c>
      <c r="G117" s="228"/>
      <c r="H117" s="228"/>
      <c r="I117" s="228"/>
      <c r="J117" s="229">
        <f>F117</f>
        <v>25</v>
      </c>
    </row>
    <row r="118" spans="2:10" ht="38.25" x14ac:dyDescent="0.25">
      <c r="B118" s="115" t="s">
        <v>515</v>
      </c>
      <c r="C118" s="2" t="str">
        <f>Orçamento!C121</f>
        <v>SINAPI/19   72263</v>
      </c>
      <c r="D118" s="2" t="str">
        <f>Orçamento!D121</f>
        <v>TERMINAL OU CONECTOR DE PRESSAO - PARA CABO 50MM2 - FORNECIMENTO E INSTALACAO</v>
      </c>
      <c r="E118" s="2" t="str">
        <f>Orçamento!E121</f>
        <v>UNID</v>
      </c>
      <c r="F118" s="329">
        <f>Orçamento!F121</f>
        <v>40</v>
      </c>
      <c r="G118" s="228"/>
      <c r="H118" s="228"/>
      <c r="I118" s="228"/>
      <c r="J118" s="229">
        <f t="shared" ref="J118:J121" si="11">F118</f>
        <v>40</v>
      </c>
    </row>
    <row r="119" spans="2:10" ht="38.25" x14ac:dyDescent="0.25">
      <c r="B119" s="115" t="s">
        <v>516</v>
      </c>
      <c r="C119" s="2" t="str">
        <f>Orçamento!C122</f>
        <v>SINAPI/19   72315</v>
      </c>
      <c r="D119" s="2" t="str">
        <f>Orçamento!D122</f>
        <v>TERMINAL AEREO EM ACO GALVANIZADO COM BASE DE FIXACAO H = 30CM</v>
      </c>
      <c r="E119" s="2" t="str">
        <f>Orçamento!E122</f>
        <v>UNID</v>
      </c>
      <c r="F119" s="329">
        <f>Orçamento!F122</f>
        <v>20</v>
      </c>
      <c r="G119" s="228"/>
      <c r="H119" s="228"/>
      <c r="I119" s="228"/>
      <c r="J119" s="229">
        <f t="shared" si="11"/>
        <v>20</v>
      </c>
    </row>
    <row r="120" spans="2:10" ht="25.5" x14ac:dyDescent="0.25">
      <c r="B120" s="115" t="s">
        <v>517</v>
      </c>
      <c r="C120" s="2" t="str">
        <f>Orçamento!C123</f>
        <v>COMPOSIÇÃO 17</v>
      </c>
      <c r="D120" s="2" t="str">
        <f>Orçamento!D123</f>
        <v>PARA-RAIOS TIPO FRANKLIN - CABO E SUPORTE ISOLADOR</v>
      </c>
      <c r="E120" s="2" t="str">
        <f>Orçamento!E123</f>
        <v>M</v>
      </c>
      <c r="G120" s="329">
        <f>Orçamento!F123</f>
        <v>128.47999999999999</v>
      </c>
      <c r="H120" s="228"/>
      <c r="I120" s="228"/>
      <c r="J120" s="229">
        <f>G120</f>
        <v>128.47999999999999</v>
      </c>
    </row>
    <row r="121" spans="2:10" ht="51" x14ac:dyDescent="0.25">
      <c r="B121" s="115" t="s">
        <v>518</v>
      </c>
      <c r="C121" s="2" t="str">
        <f>Orçamento!C124</f>
        <v>SINAPI/19   98111</v>
      </c>
      <c r="D121" s="2" t="str">
        <f>Orçamento!D124</f>
        <v>CAIXA DE INSPEÇÃO PARA ATERRAMENTO, CIRCULAR, EM POLIETILENO, DIÂMETRO INTERNO = 0,3 M. AF_05/2018</v>
      </c>
      <c r="E121" s="2" t="str">
        <f>Orçamento!E124</f>
        <v>UNID</v>
      </c>
      <c r="F121" s="329">
        <f>Orçamento!F124</f>
        <v>14</v>
      </c>
      <c r="G121" s="228"/>
      <c r="H121" s="228"/>
      <c r="I121" s="228"/>
      <c r="J121" s="229">
        <f t="shared" si="11"/>
        <v>14</v>
      </c>
    </row>
    <row r="122" spans="2:10" x14ac:dyDescent="0.25">
      <c r="B122" s="115"/>
      <c r="C122" s="2"/>
      <c r="D122" s="2" t="str">
        <f>Orçamento!D125</f>
        <v>QUADROS E ALIMENTAÇÃO</v>
      </c>
      <c r="E122" s="2"/>
      <c r="F122" s="329"/>
      <c r="G122" s="228"/>
      <c r="H122" s="228"/>
      <c r="I122" s="228"/>
      <c r="J122" s="229"/>
    </row>
    <row r="123" spans="2:10" s="244" customFormat="1" ht="89.25" x14ac:dyDescent="0.25">
      <c r="B123" s="115" t="s">
        <v>519</v>
      </c>
      <c r="C123" s="2" t="str">
        <f>Orçamento!C126</f>
        <v>SINAPI/19   74131/007</v>
      </c>
      <c r="D123" s="2" t="str">
        <f>Orçamento!D126</f>
        <v>QUADRO DE DISTRIBUICAO DE ENERGIA DE EMBUTIR, EM CHAPA METALICA, PARA 40 DISJUNTORES TERMOMAGNETICOS MONOPOLARES, COM BARRAMENTO TRIFASICO E NEUTRO, FORNECIMENTO E INSTALACAO</v>
      </c>
      <c r="E123" s="2" t="str">
        <f>Orçamento!E126</f>
        <v>UNID</v>
      </c>
      <c r="F123" s="329">
        <f>Orçamento!F126</f>
        <v>3</v>
      </c>
      <c r="G123" s="228"/>
      <c r="H123" s="228"/>
      <c r="I123" s="228"/>
      <c r="J123" s="229">
        <f>F123</f>
        <v>3</v>
      </c>
    </row>
    <row r="124" spans="2:10" s="244" customFormat="1" ht="25.5" x14ac:dyDescent="0.25">
      <c r="B124" s="115" t="s">
        <v>520</v>
      </c>
      <c r="C124" s="2" t="str">
        <f>Orçamento!C127</f>
        <v>COMPOSIÇÃO 18</v>
      </c>
      <c r="D124" s="2" t="str">
        <f>Orçamento!D127</f>
        <v>QUADRO GERAL DE BAIXA TENSÃO</v>
      </c>
      <c r="E124" s="2" t="str">
        <f>Orçamento!E127</f>
        <v>UNID</v>
      </c>
      <c r="F124" s="329">
        <f>Orçamento!F127</f>
        <v>1</v>
      </c>
      <c r="G124" s="228"/>
      <c r="H124" s="228"/>
      <c r="I124" s="228"/>
      <c r="J124" s="229">
        <f>F124</f>
        <v>1</v>
      </c>
    </row>
    <row r="125" spans="2:10" x14ac:dyDescent="0.25">
      <c r="B125" s="236" t="str">
        <f>Orçamento!B128</f>
        <v>11.0</v>
      </c>
      <c r="C125" s="121"/>
      <c r="D125" s="121" t="str">
        <f>Orçamento!D128</f>
        <v>SERVIÇOS FINAIS</v>
      </c>
      <c r="E125" s="237" t="str">
        <f>Orçamento!E128</f>
        <v/>
      </c>
      <c r="F125" s="238"/>
      <c r="G125" s="239"/>
      <c r="H125" s="239"/>
      <c r="I125" s="239"/>
      <c r="J125" s="240"/>
    </row>
    <row r="126" spans="2:10" ht="38.25" x14ac:dyDescent="0.25">
      <c r="B126" s="115" t="str">
        <f>Orçamento!B129</f>
        <v>11.1</v>
      </c>
      <c r="C126" s="2" t="str">
        <f>Orçamento!C129</f>
        <v>SEINFRA 026.1 - 
C1628</v>
      </c>
      <c r="D126" s="2" t="str">
        <f>Orçamento!D129</f>
        <v>LIMPEZA GERAL</v>
      </c>
      <c r="E126" s="2" t="str">
        <f>Orçamento!E129</f>
        <v>M2</v>
      </c>
      <c r="F126" s="2">
        <v>1954.34</v>
      </c>
      <c r="G126" s="228">
        <v>35.56</v>
      </c>
      <c r="H126" s="228">
        <v>54.96</v>
      </c>
      <c r="I126" s="228"/>
      <c r="J126" s="229">
        <v>1954.34</v>
      </c>
    </row>
    <row r="127" spans="2:10" ht="26.25" thickBot="1" x14ac:dyDescent="0.3">
      <c r="B127" s="235" t="str">
        <f>Orçamento!B130</f>
        <v>11.2</v>
      </c>
      <c r="C127" s="2" t="str">
        <f>Orçamento!C130</f>
        <v>COMPOSIÇÃO 19</v>
      </c>
      <c r="D127" s="2" t="str">
        <f>Orçamento!D130</f>
        <v>AS BUILT</v>
      </c>
      <c r="E127" s="2" t="str">
        <f>Orçamento!E130</f>
        <v>M2</v>
      </c>
      <c r="F127" s="2">
        <v>1954.34</v>
      </c>
      <c r="G127" s="228">
        <v>35.56</v>
      </c>
      <c r="H127" s="228">
        <v>54.96</v>
      </c>
      <c r="I127" s="231"/>
      <c r="J127" s="229">
        <v>1954.34</v>
      </c>
    </row>
  </sheetData>
  <mergeCells count="8">
    <mergeCell ref="B14:J14"/>
    <mergeCell ref="B8:J8"/>
    <mergeCell ref="D2:J2"/>
    <mergeCell ref="D3:J3"/>
    <mergeCell ref="D4:J4"/>
    <mergeCell ref="D5:J5"/>
    <mergeCell ref="D6:J6"/>
    <mergeCell ref="D7:J7"/>
  </mergeCells>
  <pageMargins left="0.511811024" right="0.511811024" top="0.78740157499999996" bottom="0.78740157499999996" header="0.31496062000000002" footer="0.31496062000000002"/>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Orçamento</vt:lpstr>
      <vt:lpstr>Cronograma</vt:lpstr>
      <vt:lpstr>Composição</vt:lpstr>
      <vt:lpstr>BDI</vt:lpstr>
      <vt:lpstr>Memoria de calculo</vt:lpstr>
      <vt:lpstr>Composição!Area_de_impressao</vt:lpstr>
      <vt:lpstr>'Memoria de calculo'!Area_de_impressao</vt:lpstr>
      <vt:lpstr>Orçamento!Area_de_impressao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2006-09-25T12:47:36Z</dcterms:created>
  <dcterms:modified xsi:type="dcterms:W3CDTF">2019-12-03T13:10:37Z</dcterms:modified>
</cp:coreProperties>
</file>