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1"/>
  </bookViews>
  <sheets>
    <sheet name="Orçamento" sheetId="1" r:id="rId1"/>
    <sheet name="Composição" sheetId="2" r:id="rId2"/>
    <sheet name="Cronograma" sheetId="3" r:id="rId3"/>
    <sheet name="BDI" sheetId="4" r:id="rId4"/>
    <sheet name="Memoria de calculo" sheetId="5" r:id="rId5"/>
  </sheets>
  <calcPr calcId="152511"/>
</workbook>
</file>

<file path=xl/calcChain.xml><?xml version="1.0" encoding="utf-8"?>
<calcChain xmlns="http://schemas.openxmlformats.org/spreadsheetml/2006/main">
  <c r="J135" i="5" l="1"/>
  <c r="J134" i="5"/>
  <c r="C135" i="5"/>
  <c r="D135" i="5"/>
  <c r="E135" i="5"/>
  <c r="F135" i="5"/>
  <c r="C134" i="5"/>
  <c r="D134" i="5"/>
  <c r="E134" i="5"/>
  <c r="F134" i="5"/>
  <c r="B135" i="5"/>
  <c r="B134" i="5"/>
  <c r="D133" i="5"/>
  <c r="B133" i="5"/>
  <c r="B41" i="3"/>
  <c r="G100" i="2"/>
  <c r="G104" i="2" s="1"/>
  <c r="G105" i="2" s="1"/>
  <c r="G106" i="2" s="1"/>
  <c r="H143" i="1"/>
  <c r="H142" i="1"/>
  <c r="H141" i="1" l="1"/>
  <c r="H103" i="1"/>
  <c r="H104" i="1"/>
  <c r="H105" i="1"/>
  <c r="H102" i="1"/>
  <c r="H101" i="1"/>
  <c r="H80" i="1"/>
  <c r="F61" i="1"/>
  <c r="C41" i="3" l="1"/>
  <c r="H124" i="1"/>
  <c r="J124" i="1"/>
  <c r="J42" i="3" l="1"/>
  <c r="J32" i="5"/>
  <c r="B32" i="5"/>
  <c r="C32" i="5"/>
  <c r="D32" i="5"/>
  <c r="E32" i="5"/>
  <c r="F32" i="5"/>
  <c r="H35" i="1"/>
  <c r="J35" i="1"/>
  <c r="J70" i="5" l="1"/>
  <c r="B70" i="5"/>
  <c r="C70" i="5"/>
  <c r="D70" i="5"/>
  <c r="E70" i="5"/>
  <c r="F70" i="5"/>
  <c r="J65" i="5"/>
  <c r="C95" i="5"/>
  <c r="D95" i="5"/>
  <c r="E95" i="5"/>
  <c r="F95" i="5"/>
  <c r="C96" i="5"/>
  <c r="D96" i="5"/>
  <c r="E96" i="5"/>
  <c r="F96" i="5"/>
  <c r="C97" i="5"/>
  <c r="D97" i="5"/>
  <c r="E97" i="5"/>
  <c r="F97" i="5"/>
  <c r="C98" i="5"/>
  <c r="D98" i="5"/>
  <c r="E98" i="5"/>
  <c r="F98" i="5"/>
  <c r="C99" i="5"/>
  <c r="D99" i="5"/>
  <c r="E99" i="5"/>
  <c r="F99" i="5"/>
  <c r="C100" i="5"/>
  <c r="D100" i="5"/>
  <c r="E100" i="5"/>
  <c r="F100" i="5"/>
  <c r="C101" i="5"/>
  <c r="D101" i="5"/>
  <c r="E101" i="5"/>
  <c r="F101" i="5"/>
  <c r="C102" i="5"/>
  <c r="D102" i="5"/>
  <c r="E102" i="5"/>
  <c r="F102" i="5"/>
  <c r="C103" i="5"/>
  <c r="D103" i="5"/>
  <c r="E103" i="5"/>
  <c r="F103" i="5"/>
  <c r="B95" i="5"/>
  <c r="B96" i="5"/>
  <c r="B97" i="5"/>
  <c r="B98" i="5"/>
  <c r="B99" i="5"/>
  <c r="B100" i="5"/>
  <c r="B101" i="5"/>
  <c r="B102" i="5"/>
  <c r="B103" i="5"/>
  <c r="B62" i="5"/>
  <c r="C62" i="5"/>
  <c r="D62" i="5"/>
  <c r="E62" i="5"/>
  <c r="F62" i="5"/>
  <c r="J62" i="5"/>
  <c r="F16" i="5"/>
  <c r="H109" i="1"/>
  <c r="H108" i="1"/>
  <c r="H107" i="1"/>
  <c r="J109" i="1"/>
  <c r="J108" i="1"/>
  <c r="J107" i="1"/>
  <c r="H140" i="1" l="1"/>
  <c r="H110" i="1" l="1"/>
  <c r="J110" i="1"/>
  <c r="J99" i="1"/>
  <c r="J100" i="1"/>
  <c r="J104" i="1"/>
  <c r="J105" i="1"/>
  <c r="J106" i="1"/>
  <c r="H106" i="1"/>
  <c r="H100" i="1"/>
  <c r="H99" i="1"/>
  <c r="F62" i="1" l="1"/>
  <c r="F59" i="5" s="1"/>
  <c r="G56" i="5"/>
  <c r="H56" i="5"/>
  <c r="H55" i="5"/>
  <c r="G55" i="5"/>
  <c r="G49" i="5"/>
  <c r="J49" i="5" s="1"/>
  <c r="G47" i="5"/>
  <c r="J47" i="5" s="1"/>
  <c r="G48" i="5"/>
  <c r="J48" i="5" s="1"/>
  <c r="J20" i="5"/>
  <c r="F72" i="1"/>
  <c r="G33" i="2"/>
  <c r="H73" i="1"/>
  <c r="J73" i="1"/>
  <c r="F69" i="5"/>
  <c r="H65" i="1"/>
  <c r="J65" i="1"/>
  <c r="J40" i="5"/>
  <c r="E40" i="5"/>
  <c r="F40" i="5"/>
  <c r="B40" i="5"/>
  <c r="C40" i="5"/>
  <c r="D40" i="5"/>
  <c r="H43" i="1"/>
  <c r="J43" i="1"/>
  <c r="H37" i="5"/>
  <c r="G37" i="5"/>
  <c r="J35" i="5"/>
  <c r="J34" i="5"/>
  <c r="J31" i="5"/>
  <c r="J30" i="5"/>
  <c r="G27" i="5"/>
  <c r="J27" i="5" s="1"/>
  <c r="G26" i="5"/>
  <c r="J26" i="5" s="1"/>
  <c r="J22" i="5"/>
  <c r="J21" i="5"/>
  <c r="J18" i="5"/>
  <c r="G17" i="5"/>
  <c r="J17" i="5" s="1"/>
  <c r="H17" i="5"/>
  <c r="B38" i="5"/>
  <c r="D38" i="5"/>
  <c r="E38" i="5"/>
  <c r="J19" i="5"/>
  <c r="J23" i="5"/>
  <c r="J29" i="5"/>
  <c r="J33" i="5"/>
  <c r="J36" i="5"/>
  <c r="J39" i="5"/>
  <c r="J41" i="5"/>
  <c r="J42" i="5"/>
  <c r="J43" i="5"/>
  <c r="J44" i="5"/>
  <c r="J51" i="5"/>
  <c r="J52" i="5"/>
  <c r="J53" i="5"/>
  <c r="J57" i="5"/>
  <c r="J58" i="5"/>
  <c r="J59" i="5"/>
  <c r="J60" i="5"/>
  <c r="J61" i="5"/>
  <c r="J64" i="5"/>
  <c r="J67" i="5"/>
  <c r="J68" i="5"/>
  <c r="J69" i="5"/>
  <c r="J73" i="5"/>
  <c r="F17" i="5"/>
  <c r="F18" i="5"/>
  <c r="F19" i="5"/>
  <c r="F20" i="5"/>
  <c r="F21" i="5"/>
  <c r="F22" i="5"/>
  <c r="F23" i="5"/>
  <c r="F24" i="5"/>
  <c r="F25" i="5"/>
  <c r="F26" i="5"/>
  <c r="F27" i="5"/>
  <c r="F29" i="5"/>
  <c r="F30" i="5"/>
  <c r="F31" i="5"/>
  <c r="F33" i="5"/>
  <c r="F34" i="5"/>
  <c r="F35" i="5"/>
  <c r="F36" i="5"/>
  <c r="F37" i="5"/>
  <c r="F39" i="5"/>
  <c r="F41" i="5"/>
  <c r="F42" i="5"/>
  <c r="F43" i="5"/>
  <c r="F44" i="5"/>
  <c r="F46" i="5"/>
  <c r="F47" i="5"/>
  <c r="F48" i="5"/>
  <c r="F49" i="5"/>
  <c r="F50" i="5"/>
  <c r="F51" i="5"/>
  <c r="F52" i="5"/>
  <c r="F53" i="5"/>
  <c r="F55" i="5"/>
  <c r="F56" i="5"/>
  <c r="F57" i="5"/>
  <c r="F58" i="5"/>
  <c r="F60" i="5"/>
  <c r="F61" i="5"/>
  <c r="F63" i="5"/>
  <c r="F64" i="5"/>
  <c r="F65" i="5"/>
  <c r="F67" i="5"/>
  <c r="F68" i="5"/>
  <c r="F71" i="5"/>
  <c r="F72" i="5"/>
  <c r="F73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3" i="5"/>
  <c r="E34" i="5"/>
  <c r="E35" i="5"/>
  <c r="E36" i="5"/>
  <c r="E37" i="5"/>
  <c r="E39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3" i="5"/>
  <c r="E64" i="5"/>
  <c r="E65" i="5"/>
  <c r="E67" i="5"/>
  <c r="E68" i="5"/>
  <c r="E69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6" i="5"/>
  <c r="C17" i="5"/>
  <c r="C18" i="5"/>
  <c r="C19" i="5"/>
  <c r="C20" i="5"/>
  <c r="C21" i="5"/>
  <c r="C22" i="5"/>
  <c r="C23" i="5"/>
  <c r="C24" i="5"/>
  <c r="C25" i="5"/>
  <c r="C26" i="5"/>
  <c r="C27" i="5"/>
  <c r="C29" i="5"/>
  <c r="C30" i="5"/>
  <c r="C31" i="5"/>
  <c r="C33" i="5"/>
  <c r="C34" i="5"/>
  <c r="C35" i="5"/>
  <c r="C36" i="5"/>
  <c r="C37" i="5"/>
  <c r="C39" i="5"/>
  <c r="C41" i="5"/>
  <c r="C42" i="5"/>
  <c r="C43" i="5"/>
  <c r="C44" i="5"/>
  <c r="C46" i="5"/>
  <c r="C47" i="5"/>
  <c r="C48" i="5"/>
  <c r="C49" i="5"/>
  <c r="C50" i="5"/>
  <c r="C51" i="5"/>
  <c r="C52" i="5"/>
  <c r="C53" i="5"/>
  <c r="C55" i="5"/>
  <c r="C56" i="5"/>
  <c r="C57" i="5"/>
  <c r="C58" i="5"/>
  <c r="C59" i="5"/>
  <c r="C60" i="5"/>
  <c r="C61" i="5"/>
  <c r="C63" i="5"/>
  <c r="C64" i="5"/>
  <c r="C65" i="5"/>
  <c r="C67" i="5"/>
  <c r="C68" i="5"/>
  <c r="C69" i="5"/>
  <c r="C71" i="5"/>
  <c r="C72" i="5"/>
  <c r="C73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3" i="5"/>
  <c r="B34" i="5"/>
  <c r="B35" i="5"/>
  <c r="B36" i="5"/>
  <c r="B37" i="5"/>
  <c r="B39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3" i="5"/>
  <c r="B64" i="5"/>
  <c r="B65" i="5"/>
  <c r="B66" i="5"/>
  <c r="B67" i="5"/>
  <c r="B68" i="5"/>
  <c r="B69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6" i="5"/>
  <c r="C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3" i="5"/>
  <c r="D34" i="5"/>
  <c r="D35" i="5"/>
  <c r="D36" i="5"/>
  <c r="D37" i="5"/>
  <c r="D39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3" i="5"/>
  <c r="D64" i="5"/>
  <c r="D65" i="5"/>
  <c r="D66" i="5"/>
  <c r="D67" i="5"/>
  <c r="D68" i="5"/>
  <c r="D69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6" i="5"/>
  <c r="J16" i="5"/>
  <c r="J12" i="5"/>
  <c r="J11" i="5"/>
  <c r="J56" i="5" l="1"/>
  <c r="J55" i="5"/>
  <c r="J37" i="5"/>
  <c r="H28" i="1" l="1"/>
  <c r="J28" i="1"/>
  <c r="H30" i="1"/>
  <c r="J30" i="1"/>
  <c r="J135" i="1" l="1"/>
  <c r="J136" i="1"/>
  <c r="J137" i="1"/>
  <c r="J138" i="1"/>
  <c r="H136" i="1"/>
  <c r="H137" i="1"/>
  <c r="H138" i="1"/>
  <c r="H139" i="1"/>
  <c r="J139" i="1"/>
  <c r="H75" i="1" l="1"/>
  <c r="J75" i="1"/>
  <c r="H74" i="1"/>
  <c r="J74" i="1"/>
  <c r="H29" i="1"/>
  <c r="H128" i="1"/>
  <c r="J128" i="1"/>
  <c r="H135" i="1"/>
  <c r="H129" i="1"/>
  <c r="H130" i="1"/>
  <c r="H131" i="1"/>
  <c r="H125" i="1"/>
  <c r="H126" i="1"/>
  <c r="H127" i="1"/>
  <c r="H123" i="1"/>
  <c r="H122" i="1"/>
  <c r="J122" i="1"/>
  <c r="J123" i="1"/>
  <c r="G93" i="2"/>
  <c r="G92" i="2"/>
  <c r="G91" i="2"/>
  <c r="G90" i="2"/>
  <c r="G89" i="2"/>
  <c r="G88" i="2"/>
  <c r="G87" i="2"/>
  <c r="G86" i="2"/>
  <c r="G85" i="2"/>
  <c r="G84" i="2"/>
  <c r="G83" i="2"/>
  <c r="G66" i="2"/>
  <c r="G67" i="2"/>
  <c r="G68" i="2"/>
  <c r="G69" i="2"/>
  <c r="G76" i="2"/>
  <c r="G75" i="2"/>
  <c r="G74" i="2"/>
  <c r="G73" i="2"/>
  <c r="G72" i="2"/>
  <c r="G71" i="2"/>
  <c r="G70" i="2"/>
  <c r="H118" i="1"/>
  <c r="J118" i="1"/>
  <c r="H116" i="1"/>
  <c r="J116" i="1"/>
  <c r="H121" i="1"/>
  <c r="H114" i="1"/>
  <c r="H115" i="1"/>
  <c r="H117" i="1"/>
  <c r="J114" i="1"/>
  <c r="J115" i="1"/>
  <c r="J117" i="1"/>
  <c r="J119" i="1"/>
  <c r="J120" i="1"/>
  <c r="J121" i="1"/>
  <c r="J125" i="1"/>
  <c r="J126" i="1"/>
  <c r="J127" i="1"/>
  <c r="J129" i="1"/>
  <c r="H120" i="1"/>
  <c r="H119" i="1"/>
  <c r="H113" i="1"/>
  <c r="H112" i="1"/>
  <c r="H132" i="1"/>
  <c r="J132" i="1"/>
  <c r="G61" i="2"/>
  <c r="G54" i="2"/>
  <c r="G55" i="2"/>
  <c r="G59" i="2"/>
  <c r="G58" i="2"/>
  <c r="G57" i="2"/>
  <c r="G56" i="2"/>
  <c r="G53" i="2"/>
  <c r="G60" i="2" s="1"/>
  <c r="J29" i="1"/>
  <c r="G94" i="2" l="1"/>
  <c r="G96" i="2" s="1"/>
  <c r="G97" i="2" s="1"/>
  <c r="G77" i="2"/>
  <c r="G79" i="2" s="1"/>
  <c r="G80" i="2" s="1"/>
  <c r="G62" i="2"/>
  <c r="G63" i="2" s="1"/>
  <c r="H94" i="1"/>
  <c r="H86" i="1" l="1"/>
  <c r="G44" i="2"/>
  <c r="G48" i="2" s="1"/>
  <c r="G46" i="2"/>
  <c r="G45" i="2"/>
  <c r="G43" i="2"/>
  <c r="G42" i="2"/>
  <c r="H85" i="1"/>
  <c r="J85" i="1"/>
  <c r="G47" i="2" l="1"/>
  <c r="G49" i="2" s="1"/>
  <c r="G50" i="2" s="1"/>
  <c r="J15" i="1" l="1"/>
  <c r="J16" i="1"/>
  <c r="J17" i="1"/>
  <c r="J18" i="1"/>
  <c r="H39" i="1"/>
  <c r="J39" i="1"/>
  <c r="H34" i="1"/>
  <c r="H36" i="1"/>
  <c r="H37" i="1"/>
  <c r="H38" i="1"/>
  <c r="J38" i="1"/>
  <c r="J37" i="1"/>
  <c r="J36" i="1"/>
  <c r="J34" i="1"/>
  <c r="J56" i="1"/>
  <c r="B14" i="3"/>
  <c r="B17" i="3"/>
  <c r="B20" i="3"/>
  <c r="B23" i="3"/>
  <c r="B26" i="3"/>
  <c r="B29" i="3"/>
  <c r="B38" i="3"/>
  <c r="B35" i="3"/>
  <c r="H61" i="1" l="1"/>
  <c r="J61" i="1"/>
  <c r="H56" i="1"/>
  <c r="H55" i="1"/>
  <c r="J55" i="1"/>
  <c r="H54" i="1" l="1"/>
  <c r="H53" i="1"/>
  <c r="D6" i="5"/>
  <c r="D5" i="5"/>
  <c r="D4" i="5"/>
  <c r="C5" i="4"/>
  <c r="C4" i="4"/>
  <c r="C3" i="4"/>
  <c r="A10" i="3"/>
  <c r="A9" i="3"/>
  <c r="A8" i="3"/>
  <c r="C5" i="2"/>
  <c r="C4" i="2"/>
  <c r="C3" i="2"/>
  <c r="G32" i="2"/>
  <c r="G31" i="2"/>
  <c r="G30" i="2"/>
  <c r="H66" i="1"/>
  <c r="G36" i="2" l="1"/>
  <c r="G35" i="2"/>
  <c r="G37" i="2"/>
  <c r="G34" i="2"/>
  <c r="J50" i="1"/>
  <c r="H52" i="1"/>
  <c r="H50" i="1"/>
  <c r="H51" i="1"/>
  <c r="G38" i="2" l="1"/>
  <c r="G39" i="2" s="1"/>
  <c r="J64" i="1"/>
  <c r="H64" i="1"/>
  <c r="J63" i="1"/>
  <c r="H63" i="1"/>
  <c r="H27" i="1" l="1"/>
  <c r="J27" i="1" l="1"/>
  <c r="J79" i="1"/>
  <c r="J112" i="1"/>
  <c r="J72" i="1"/>
  <c r="J76" i="1"/>
  <c r="J33" i="1"/>
  <c r="J51" i="1"/>
  <c r="J52" i="1"/>
  <c r="J53" i="1"/>
  <c r="J54" i="1"/>
  <c r="H33" i="1"/>
  <c r="H72" i="1"/>
  <c r="H133" i="1" l="1"/>
  <c r="H134" i="1"/>
  <c r="J140" i="1"/>
  <c r="J98" i="1"/>
  <c r="H95" i="1"/>
  <c r="H96" i="1"/>
  <c r="H97" i="1"/>
  <c r="H98" i="1"/>
  <c r="J95" i="1"/>
  <c r="J96" i="1"/>
  <c r="J97" i="1"/>
  <c r="H93" i="1"/>
  <c r="H92" i="1"/>
  <c r="H91" i="1"/>
  <c r="H111" i="1" l="1"/>
  <c r="J20" i="1"/>
  <c r="J21" i="1"/>
  <c r="J22" i="1"/>
  <c r="J23" i="1"/>
  <c r="J24" i="1"/>
  <c r="J25" i="1"/>
  <c r="J26" i="1"/>
  <c r="J31" i="1"/>
  <c r="J32" i="1"/>
  <c r="J40" i="1"/>
  <c r="J41" i="1"/>
  <c r="J42" i="1"/>
  <c r="J44" i="1"/>
  <c r="J45" i="1"/>
  <c r="J46" i="1"/>
  <c r="J47" i="1"/>
  <c r="J48" i="1"/>
  <c r="J49" i="1"/>
  <c r="J57" i="1"/>
  <c r="J58" i="1"/>
  <c r="J59" i="1"/>
  <c r="J60" i="1"/>
  <c r="J62" i="1"/>
  <c r="J66" i="1"/>
  <c r="J67" i="1"/>
  <c r="J68" i="1"/>
  <c r="J69" i="1"/>
  <c r="J70" i="1"/>
  <c r="J71" i="1"/>
  <c r="J81" i="1"/>
  <c r="J82" i="1"/>
  <c r="J83" i="1"/>
  <c r="J84" i="1"/>
  <c r="J87" i="1"/>
  <c r="J88" i="1"/>
  <c r="J89" i="1"/>
  <c r="J90" i="1"/>
  <c r="J91" i="1"/>
  <c r="J92" i="1"/>
  <c r="J93" i="1"/>
  <c r="J94" i="1"/>
  <c r="J113" i="1"/>
  <c r="J133" i="1"/>
  <c r="J134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9" i="1"/>
  <c r="C38" i="3" l="1"/>
  <c r="F39" i="3"/>
  <c r="J39" i="3"/>
  <c r="G39" i="3"/>
  <c r="H39" i="3"/>
  <c r="I39" i="3"/>
  <c r="H40" i="1"/>
  <c r="H32" i="1"/>
  <c r="H19" i="1"/>
  <c r="H17" i="1"/>
  <c r="H16" i="1"/>
  <c r="H31" i="1" l="1"/>
  <c r="C20" i="3" s="1"/>
  <c r="H15" i="1"/>
  <c r="G21" i="3" l="1"/>
  <c r="E21" i="3"/>
  <c r="C14" i="3"/>
  <c r="F21" i="3"/>
  <c r="H71" i="1"/>
  <c r="H15" i="3" l="1"/>
  <c r="I15" i="3"/>
  <c r="F15" i="3"/>
  <c r="J15" i="3"/>
  <c r="G15" i="3"/>
  <c r="H84" i="1"/>
  <c r="H83" i="1"/>
  <c r="H82" i="1"/>
  <c r="H81" i="1"/>
  <c r="H76" i="1" l="1"/>
  <c r="H70" i="1"/>
  <c r="H68" i="1"/>
  <c r="H67" i="1"/>
  <c r="H62" i="1"/>
  <c r="H69" i="1" l="1"/>
  <c r="H60" i="1"/>
  <c r="H59" i="1"/>
  <c r="H44" i="1"/>
  <c r="C32" i="3" l="1"/>
  <c r="H21" i="1"/>
  <c r="J33" i="3" l="1"/>
  <c r="H33" i="3"/>
  <c r="G33" i="3"/>
  <c r="I33" i="3"/>
  <c r="H87" i="1"/>
  <c r="H88" i="1"/>
  <c r="H89" i="1"/>
  <c r="H25" i="1" l="1"/>
  <c r="H49" i="1" l="1"/>
  <c r="H48" i="1" s="1"/>
  <c r="C26" i="3" s="1"/>
  <c r="H27" i="3" s="1"/>
  <c r="H47" i="1"/>
  <c r="H46" i="1"/>
  <c r="H45" i="1"/>
  <c r="H42" i="1"/>
  <c r="H26" i="1"/>
  <c r="H24" i="1"/>
  <c r="H23" i="1"/>
  <c r="H22" i="1"/>
  <c r="H20" i="1"/>
  <c r="H58" i="1"/>
  <c r="H57" i="1" s="1"/>
  <c r="C29" i="3" s="1"/>
  <c r="F30" i="3" s="1"/>
  <c r="G30" i="3" l="1"/>
  <c r="H30" i="3"/>
  <c r="H18" i="1"/>
  <c r="H41" i="1"/>
  <c r="C23" i="3" s="1"/>
  <c r="J30" i="3"/>
  <c r="I30" i="3"/>
  <c r="C17" i="3" l="1"/>
  <c r="J24" i="3"/>
  <c r="I24" i="3"/>
  <c r="J27" i="3"/>
  <c r="I27" i="3"/>
  <c r="E15" i="3"/>
  <c r="F18" i="3" l="1"/>
  <c r="E18" i="3"/>
  <c r="E46" i="3" s="1"/>
  <c r="G20" i="2"/>
  <c r="G19" i="2"/>
  <c r="G24" i="2" s="1"/>
  <c r="G25" i="2" s="1"/>
  <c r="G10" i="2"/>
  <c r="G9" i="2"/>
  <c r="G14" i="2" l="1"/>
  <c r="G15" i="2" s="1"/>
  <c r="G16" i="2" s="1"/>
  <c r="H78" i="1"/>
  <c r="H79" i="1"/>
  <c r="H90" i="1"/>
  <c r="G26" i="2"/>
  <c r="H77" i="1" l="1"/>
  <c r="H144" i="1" s="1"/>
  <c r="E48" i="3"/>
  <c r="C35" i="3" l="1"/>
  <c r="F36" i="3" l="1"/>
  <c r="F46" i="3" s="1"/>
  <c r="F48" i="3" s="1"/>
  <c r="G48" i="3" s="1"/>
  <c r="H48" i="3" s="1"/>
  <c r="I48" i="3" s="1"/>
  <c r="C45" i="3"/>
  <c r="D40" i="3" s="1"/>
  <c r="J36" i="3"/>
  <c r="H36" i="3"/>
  <c r="H46" i="3" s="1"/>
  <c r="I36" i="3"/>
  <c r="I46" i="3" s="1"/>
  <c r="G36" i="3"/>
  <c r="G46" i="3" s="1"/>
  <c r="G47" i="3" s="1"/>
  <c r="D13" i="3"/>
  <c r="D16" i="3"/>
  <c r="J48" i="3" l="1"/>
  <c r="H47" i="3"/>
  <c r="I47" i="3"/>
  <c r="D31" i="3"/>
  <c r="D28" i="3"/>
  <c r="D25" i="3"/>
  <c r="D34" i="3"/>
  <c r="D37" i="3"/>
  <c r="E47" i="3"/>
  <c r="E49" i="3" s="1"/>
  <c r="F49" i="3" s="1"/>
  <c r="G49" i="3" s="1"/>
  <c r="H49" i="3" s="1"/>
  <c r="I49" i="3" s="1"/>
  <c r="J49" i="3" s="1"/>
  <c r="D19" i="3"/>
  <c r="D22" i="3"/>
  <c r="F47" i="3"/>
  <c r="J46" i="3"/>
  <c r="J47" i="3" s="1"/>
</calcChain>
</file>

<file path=xl/sharedStrings.xml><?xml version="1.0" encoding="utf-8"?>
<sst xmlns="http://schemas.openxmlformats.org/spreadsheetml/2006/main" count="812" uniqueCount="506">
  <si>
    <t xml:space="preserve">PREFEITURA MUNICIPAL DE GOIANA </t>
  </si>
  <si>
    <t>SECRETARIA DE URBANISMO, OBRAS E PATRIMÔNIO ARQUITETÔNICO</t>
  </si>
  <si>
    <t>PLANILHA DE QUANTITATIVOS E ESTIMATIVA DE PREÇOS</t>
  </si>
  <si>
    <t>ITEM</t>
  </si>
  <si>
    <t>DISCRIMINAÇÃO DOS SERVIÇOS</t>
  </si>
  <si>
    <t>QUANT.</t>
  </si>
  <si>
    <t>PREÇ. UNIT. COM BDI</t>
  </si>
  <si>
    <t>Total</t>
  </si>
  <si>
    <t>SERVIÇOS PRELIMINARES</t>
  </si>
  <si>
    <t/>
  </si>
  <si>
    <t>PLACA DE OBRA EM CHAPA DE ACO GALVANIZADO</t>
  </si>
  <si>
    <t>CARGA MANUAL DE ENTULHO EM CAMINHAO BASCULANTE 6 M3</t>
  </si>
  <si>
    <t>TRANSPORTE DE ENTULHO COM CAMINHAO BASCULANTE 6 M3, RODOVIA PAVIMENTADA, DMT 0,5 A 1,0 KM</t>
  </si>
  <si>
    <t>2.0</t>
  </si>
  <si>
    <t>PINTURA</t>
  </si>
  <si>
    <t>2.1</t>
  </si>
  <si>
    <t>2.2</t>
  </si>
  <si>
    <t>APLICAÇÃO MANUAL DE PINTURA COM TINTA LÁTEX ACRÍLICA EM PAREDES, DUAS DEMÃOS. AF_06/2014</t>
  </si>
  <si>
    <t>2.3</t>
  </si>
  <si>
    <t>2.4</t>
  </si>
  <si>
    <t>2.5</t>
  </si>
  <si>
    <t>PINTURA ESMALTE FOSCO EM MADEIRA, DUAS DEMAOS</t>
  </si>
  <si>
    <t>PINTURA ESMALTE ACETINADO, DUAS DEMAOS, SOBRE SUPERFICIE METALICA</t>
  </si>
  <si>
    <t>3.0</t>
  </si>
  <si>
    <t>ESQUADRIA</t>
  </si>
  <si>
    <t>3.1</t>
  </si>
  <si>
    <t>3.2</t>
  </si>
  <si>
    <t>4.0</t>
  </si>
  <si>
    <t>4.1</t>
  </si>
  <si>
    <t>5.0</t>
  </si>
  <si>
    <t>INSTALAÇÕES HIDRÁULICAS</t>
  </si>
  <si>
    <t>5.1</t>
  </si>
  <si>
    <t>6.0</t>
  </si>
  <si>
    <t>INSTALAÇÕES ELÉTRICAS</t>
  </si>
  <si>
    <t>6.1</t>
  </si>
  <si>
    <t>6.2</t>
  </si>
  <si>
    <t>7.0</t>
  </si>
  <si>
    <t>7.1</t>
  </si>
  <si>
    <t xml:space="preserve">DEMOLIÇÃO DE ARGAMASSAS, DE FORMA MANUAL, SEM REAPROVEITAMENTO. </t>
  </si>
  <si>
    <t>SINAPI/19 74209/001</t>
  </si>
  <si>
    <t>SINAPI/19   97631</t>
  </si>
  <si>
    <t>TOTAL GERAL C/ 26,37 % BDI:</t>
  </si>
  <si>
    <t xml:space="preserve"> SINAPI/19        87878</t>
  </si>
  <si>
    <t>CHAPISCO APLICADO EM ALVENARIAS E ESTRUTURAS DE CONCRETO INTERNAS, COM COLHER DE PEDREIRO. ARGAMASSA TRAÇO 1:3 COM PREPARO MANUAL. AF_06/2014</t>
  </si>
  <si>
    <t xml:space="preserve"> SINAPI/19        87530</t>
  </si>
  <si>
    <t>MASSA ÚNICA, PARA RECEBIMENTO DE PINTURA, EM ARGAMASSA TRAÇO 1:2:8, PREPARO MANUAL, APLICADA MANUALMENTE EM FACES INTERNAS DE PAREDES, ESPESSURA DE 20MM, COM EXECUÇÃO DE TALISCAS.</t>
  </si>
  <si>
    <t>COBERTURA</t>
  </si>
  <si>
    <t>7.2</t>
  </si>
  <si>
    <t>7.3</t>
  </si>
  <si>
    <t>REVISÃO DAS INSTALAÇÕES HIDROSANITARIA</t>
  </si>
  <si>
    <t>SINAPI/19         86906</t>
  </si>
  <si>
    <t>TORNEIRA CROMADA DE MESA, 1/2" OU 3/4", PARA LAVATÓRIO, PADRÃO POPULAR - FORNECIMENTO E INSTALAÇÃO. AF_12/2013</t>
  </si>
  <si>
    <t>SINAPI/19   86882</t>
  </si>
  <si>
    <t>SIFÃO DO TIPO GARRAFA/COPO EM PVC 1.1/4 X 1.1/2" - FORNECIMENTO E INSTALAÇÃO.</t>
  </si>
  <si>
    <t>REVISÃO DAS INSTALAÇÕES ELETRICAS.</t>
  </si>
  <si>
    <t>CABO DE COBRE FLEXÍVEL ISOLADO, 2,5 MM², ANTI-CHAMA 450/750 V, PARA CIRCUITOS TERMINAIS - FORNECIMENTO E INSTALAÇÃO</t>
  </si>
  <si>
    <t>CABO DE COBRE FLEXÍVEL ISOLADO, 4 MM², ANTI-CHAMA 450/750 V, PARA CIRCUITOS TERMINAIS - FORNECIMENTO E INSTALAÇÃO.</t>
  </si>
  <si>
    <t>SINAPI/19   91926</t>
  </si>
  <si>
    <t>SINAPI/19   91928</t>
  </si>
  <si>
    <t>1.0</t>
  </si>
  <si>
    <t>1.1</t>
  </si>
  <si>
    <t>1.2</t>
  </si>
  <si>
    <t>SINAPI/19   72897</t>
  </si>
  <si>
    <t>SINAPI/19   72900</t>
  </si>
  <si>
    <t>SINAPI/19   88489</t>
  </si>
  <si>
    <t>SINAPI/19    84659</t>
  </si>
  <si>
    <t xml:space="preserve">SINAPI/19     73924/002    </t>
  </si>
  <si>
    <t>SINAPI/19   89495</t>
  </si>
  <si>
    <t>RALO SIFONADO, PVC, DN 100 X 40 MM, JUNTA SOLDÁVEL, FORNECIDO E INSTALADO EM RAMAIS DE ENCAMINHAMENTO DE ÁGUA PLUVIAL.</t>
  </si>
  <si>
    <t>TUBO PVC, SERIE NORMAL, ESGOTO PREDIAL, DN 100 MM, FORNECIDO E INSTALADO EM RAMAL DE DESCARGA OU RAMAL DE ESGOTO SANITÁRIO.</t>
  </si>
  <si>
    <t xml:space="preserve">SINAPI/19   89714      </t>
  </si>
  <si>
    <t>SINAPI/19     89711</t>
  </si>
  <si>
    <t>TUBO PVC, SERIE NORMAL, ESGOTO PREDIAL, DN 40 MM, FORNECIDO E INSTALADO EM RAMAL DE DESCARGA OU RAMAL DE ESGOTO SANITÁRIO.</t>
  </si>
  <si>
    <t>APLICAÇÃO MANUAL DE MASSA ACRÍLICA EM PAREDES INTERNAS E EXTERNAS DE CASAS, DUAS DEMÃOS.</t>
  </si>
  <si>
    <t>SINAPI/19   96135</t>
  </si>
  <si>
    <t>SECRETARIA DE URBANISMO, OBRAS E PATRIMÔNIO ARQUITETÔNICO- SEURBO</t>
  </si>
  <si>
    <t>COMPOSIÇÕES</t>
  </si>
  <si>
    <t>COMPOSIÇÃO 01</t>
  </si>
  <si>
    <t>UNID</t>
  </si>
  <si>
    <t>ELETRICISTA COM ENCARGOS COMPLEMENTARES</t>
  </si>
  <si>
    <t>H</t>
  </si>
  <si>
    <t>AUXILIAR DE ELETRICISTA COM ENCARGOS COMPLEMENTARES</t>
  </si>
  <si>
    <t>SERVIÇO</t>
  </si>
  <si>
    <t>EQUIPAMENTO</t>
  </si>
  <si>
    <t>MATERIAL</t>
  </si>
  <si>
    <t>MÃO 0BRA</t>
  </si>
  <si>
    <t>TOTAL  GERAL</t>
  </si>
  <si>
    <t>TOTAL GERAL C/ BDI</t>
  </si>
  <si>
    <t>REVISÃO NAS INSTALAÇÕES HIDROSANITÁRIAS - VAZAMENTOS E ENTUPIMENTOS</t>
  </si>
  <si>
    <t>ENCANADOR OU BOMBEIRO HIDRÁULICO COM ENCARGOS COMPLEMENTARES</t>
  </si>
  <si>
    <t>AUXILIAR DE ENCANADOR OU BOMBEIRO HIDRÁULICO COM ENCARGOS COMPLEMENTARES</t>
  </si>
  <si>
    <t>REVISÃO DAS INSTALAÇÕES ELETRICAS</t>
  </si>
  <si>
    <t>UND</t>
  </si>
  <si>
    <t>CRONOGRAMA FÍSICO-FINANCEIRO</t>
  </si>
  <si>
    <t xml:space="preserve">VALOR DA </t>
  </si>
  <si>
    <t>PERCENT</t>
  </si>
  <si>
    <t>PERÍODO:</t>
  </si>
  <si>
    <t>ETAPA(R$)</t>
  </si>
  <si>
    <t>%</t>
  </si>
  <si>
    <t>30 DIAS</t>
  </si>
  <si>
    <t>60 DIAS</t>
  </si>
  <si>
    <t>90 DIAS</t>
  </si>
  <si>
    <t>TOTAL GERAL</t>
  </si>
  <si>
    <t>VALOR MENSAL (R$)</t>
  </si>
  <si>
    <t>PERCENTUAL SIMPLES (%)</t>
  </si>
  <si>
    <t>VALOR ACUMULADO (R$)</t>
  </si>
  <si>
    <t>PERENTUAL ACUMULADO (%)</t>
  </si>
  <si>
    <t>MEMÓRIA DE CÁLCULO</t>
  </si>
  <si>
    <t>CÓDIGO</t>
  </si>
  <si>
    <t>COMPRIMENTO</t>
  </si>
  <si>
    <t>LARGURA</t>
  </si>
  <si>
    <t>ALTURA</t>
  </si>
  <si>
    <t>COMPOSIÇÃO 02</t>
  </si>
  <si>
    <t xml:space="preserve">COMPOSIÇÃO  01 </t>
  </si>
  <si>
    <t>COMPOSIÇÃO   02</t>
  </si>
  <si>
    <t>CODIGO</t>
  </si>
  <si>
    <t>TOTAL</t>
  </si>
  <si>
    <t>3.3</t>
  </si>
  <si>
    <t>7.4</t>
  </si>
  <si>
    <t>7.5</t>
  </si>
  <si>
    <t>5.2</t>
  </si>
  <si>
    <t>7.6</t>
  </si>
  <si>
    <t>4.2</t>
  </si>
  <si>
    <t>M2</t>
  </si>
  <si>
    <t>M3</t>
  </si>
  <si>
    <t>M</t>
  </si>
  <si>
    <t>SINAPI/19 88264</t>
  </si>
  <si>
    <t>SINAPI/19 88247</t>
  </si>
  <si>
    <t>SINAPI/19 88267</t>
  </si>
  <si>
    <t>SINAPI/19 88248</t>
  </si>
  <si>
    <t>6.4</t>
  </si>
  <si>
    <t>6.5</t>
  </si>
  <si>
    <t>6.6</t>
  </si>
  <si>
    <t>6.7</t>
  </si>
  <si>
    <t>120 DIAS</t>
  </si>
  <si>
    <t>QUANT</t>
  </si>
  <si>
    <t>PREFEITURA MUNICIPAL DE GOIANA</t>
  </si>
  <si>
    <t>6.3</t>
  </si>
  <si>
    <t xml:space="preserve">SINAPI/19   89402 </t>
  </si>
  <si>
    <t>TUBO, PVC, SOLDÁVEL, DN 25MM, INSTALADO EM RAMAL DE DISTRIBUIÇÃO DE ÁGUA - FORNECIMENTO E INSTALAÇÃO. AF_12/2014</t>
  </si>
  <si>
    <t xml:space="preserve">SINAPI/19   97622 </t>
  </si>
  <si>
    <t>2.6</t>
  </si>
  <si>
    <t xml:space="preserve">SINAPI/19    79460 </t>
  </si>
  <si>
    <t>PINTURA EPOXI, DUAS DEMAOS</t>
  </si>
  <si>
    <t>7.7</t>
  </si>
  <si>
    <t>4.3</t>
  </si>
  <si>
    <t>4.4</t>
  </si>
  <si>
    <t>4.5</t>
  </si>
  <si>
    <t>4.6</t>
  </si>
  <si>
    <t xml:space="preserve"> SINAPI/19        87528 </t>
  </si>
  <si>
    <t>EMBOÇO, PARA RECEBIMENTO DE CERÂMICA, EM ARGAMASSA TRAÇO 1:2:8, PREPARO MANUAL, APLICADO MANUALMENTE EM FACES INTERNAS DE PAREDES, PARA AMBIENTE COM ÁREA MENOR QUE 5M2, ESPESSURA DE 20MM, COM EXECUÇÃO DE TALISCAS. AF_06/2014</t>
  </si>
  <si>
    <t>SINAPI/19   98679</t>
  </si>
  <si>
    <t xml:space="preserve">PISO CIMENTADO, TRAÇO 1:3 (CIMENTO E AREIA), ACABAMENTO LISO, ESPESSURA 2,0 CM, PREPARO MECÂNICO DA ARGAMASSA. AF_06/2018
</t>
  </si>
  <si>
    <t>SINAPI/19        95241</t>
  </si>
  <si>
    <t>LASTRO DE CONCRETO, E = 5 CM, PREPARO MECÂNICO, INCLUSOS LANÇAMENTO E ADENSAMENTO. AF_07_2016</t>
  </si>
  <si>
    <t xml:space="preserve">SINAPI/19   94207 </t>
  </si>
  <si>
    <t>TELHAMENTO COM TELHA ONDULADA DE FIBROCIMENTO E = 6 MM, COM RECOBRIMENTO LATERAL DE 1/4 DE ONDA PARA TELHADO COM INCLINAÇÃO MAIOR QUE 10°, C OM ATÉ 2 ÁGUAS, INCLUSO IÇAMENTO.</t>
  </si>
  <si>
    <t>SINAPI/19        89957</t>
  </si>
  <si>
    <t xml:space="preserve">EMLURB -        19.01.020 </t>
  </si>
  <si>
    <t>PT</t>
  </si>
  <si>
    <t>6.8</t>
  </si>
  <si>
    <t xml:space="preserve">SINAPI/19   89708 </t>
  </si>
  <si>
    <t>CAIXA SIFONADA, PVC, DN 150 X 185 X 75 MM, JUNTA ELÁSTICA, FORNECIDA E INSTALADA EM RAMAL DE DESCARGA OU EM RAMAL DE ESGOTO SANITÁRIO. AF_12
/2014</t>
  </si>
  <si>
    <t>6.9</t>
  </si>
  <si>
    <t>VASO SANITÁRIO SIFONADO COM CAIXA ACOPLADA LOUÇA BRANCA - FORNECIMENTO E INSTALAÇÃO. AF_12/2013</t>
  </si>
  <si>
    <t>6.10</t>
  </si>
  <si>
    <t>6.11</t>
  </si>
  <si>
    <t>5.3</t>
  </si>
  <si>
    <t xml:space="preserve">SINAPI/19     96485  </t>
  </si>
  <si>
    <t>DEMOLIÇÃO DE ALVENARIA DE BLOCO FURADO, DE FORMA MANUAL, SEM REAPROVEITAMENTO. AF_12/2017</t>
  </si>
  <si>
    <t>ADMINISTRAÇÃO LOCAL</t>
  </si>
  <si>
    <t>SINAPI/19   90777</t>
  </si>
  <si>
    <t>ENGENHEIRO CIVIL DE OBRA JUNIOR COM ENCARGOS COMPLEMENTARES</t>
  </si>
  <si>
    <t>SINAPI/19    90776</t>
  </si>
  <si>
    <t>ENCARREGADO GERAL COM ENCARGOS COMPLEMENTARES</t>
  </si>
  <si>
    <t>2.7</t>
  </si>
  <si>
    <t>2.8</t>
  </si>
  <si>
    <t>8.0</t>
  </si>
  <si>
    <t>8.1</t>
  </si>
  <si>
    <t>8.2</t>
  </si>
  <si>
    <t>8.3</t>
  </si>
  <si>
    <t>8.4</t>
  </si>
  <si>
    <t>8.5</t>
  </si>
  <si>
    <t>8.6</t>
  </si>
  <si>
    <t>8.7</t>
  </si>
  <si>
    <t>9.0</t>
  </si>
  <si>
    <t>9.1</t>
  </si>
  <si>
    <t>9.3</t>
  </si>
  <si>
    <t>EMLURB -18 09.02.040</t>
  </si>
  <si>
    <t>PORTAO EM CHAPA DE FERRO N.16, GALVANIZADA, INCLUSIVE FECHADURA DE SOBREPOR BRASIL OU SIM E ASSENTAMENTO.</t>
  </si>
  <si>
    <t>8.8</t>
  </si>
  <si>
    <t>8.9</t>
  </si>
  <si>
    <t>8.10</t>
  </si>
  <si>
    <t>8.11</t>
  </si>
  <si>
    <t>9.4</t>
  </si>
  <si>
    <t>9.5</t>
  </si>
  <si>
    <t>9.6</t>
  </si>
  <si>
    <t>9.7</t>
  </si>
  <si>
    <t xml:space="preserve">OBJETO: CONSTRUÇÃO E REFORMA DO PSF DE BARRA DE CATUAMA   </t>
  </si>
  <si>
    <t>DATA: OUTUBRO 2019</t>
  </si>
  <si>
    <t>LOCAL: BARRA DE CATUAMA, GOIANA/PE</t>
  </si>
  <si>
    <t>REF: EMLURB JULHO 2018/SINAPI DESONERADA AGOSTO 2019.</t>
  </si>
  <si>
    <t>SINAPI/19 73859/002</t>
  </si>
  <si>
    <t>CAPINA E LIMPEZA MANUAL DE TERRENO</t>
  </si>
  <si>
    <t xml:space="preserve">EMLURB -18  04.03.039 </t>
  </si>
  <si>
    <t xml:space="preserve">REMOCAO DE MATERIAL DE PRIMEIRA CATEGORIA EM CAMINHAO BASCULANTE, D.M.T. 2 KM, INCLUSIVE CARGA MANUAL E DESCARGA MECANICA. </t>
  </si>
  <si>
    <t xml:space="preserve">EMLURB -18  03.01.070 </t>
  </si>
  <si>
    <t xml:space="preserve">DEMOLICAO DE REVESTIMENTO DE PISO EM 
CIMENTADO INCLUSIVE LASTRO DE CONCRETO. </t>
  </si>
  <si>
    <t xml:space="preserve">SINAPI/19    89168 </t>
  </si>
  <si>
    <t>(COMPOSIÇÃO REPRESENTATIVA) DO SERVIÇO DE ALVENARIA DE VEDAÇÃO DE BLOCOS VAZADOS DE CERÂMICA DE 9X19X19CM (ESPESSURA 9CM), PARA EDIFICAÇÃO HABITACIONAL UNIFAMILIAR (CASA) E EDIFICAÇÃO PÚBLICA PADRÃO. AF_11/2014</t>
  </si>
  <si>
    <t>REVESTIMENTOS E PISOS</t>
  </si>
  <si>
    <t>FORRO EM RÉGUAS DE PVC, LISO, PARA AMBIENTES RESIDENCIAIS, INCLUSIVE ESTRUTURA DE FIXAÇÃO. AF_05/2017_P</t>
  </si>
  <si>
    <t>SINAPI/19      86888</t>
  </si>
  <si>
    <t>SINAPI/19        89362</t>
  </si>
  <si>
    <t>JOELHO 90 GRAUS, PVC, SOLDÁVEL, DN 25MM, INSTALADO EM RAMAL OU SUB-RAMAL DE ÁGUA - FORNECIMENTO E INSTALAÇÃO. AF_12/201</t>
  </si>
  <si>
    <t>SINAPI/19        89395</t>
  </si>
  <si>
    <t>TE, PVC, SOLDÁVEL, DN 25MM, INSTALADO EM RAMAL OU SUB-RAMAL DE ÁGUA - FORNECIMENTO E INSTALAÇÃO. AF_12/2014</t>
  </si>
  <si>
    <t>SINAPI/19   89352</t>
  </si>
  <si>
    <t>REGISTRO DE GAVETA BRUTO, LATÃO, ROSCÁVEL, 1/2", FORNECIDO E INSTALADO EM RAMAL DE ÁGUA. AF_12/2014</t>
  </si>
  <si>
    <t>8.12</t>
  </si>
  <si>
    <t>8.13</t>
  </si>
  <si>
    <t>8.14</t>
  </si>
  <si>
    <t>8.15</t>
  </si>
  <si>
    <t>8.16</t>
  </si>
  <si>
    <t xml:space="preserve">SINAPI/19   89403 </t>
  </si>
  <si>
    <t>TUBO, PVC, SOLDÁVEL, DN 32MM, INSTALADO EM RAMAL DE DISTRIBUIÇÃO DE ÁGUA - FORNECIMENTO E INSTALAÇÃO. AF_12/2014</t>
  </si>
  <si>
    <t xml:space="preserve">EMLURB -18   19.05.040 </t>
  </si>
  <si>
    <t>FORNECIMENTO E ASSENTAMENTO DE TUBOS SOLDAVEIS DE PVC RIGIDO DIAM. 40 MM, INCLUSIVE CONEXOES E ABERTURA DE RASGOS EM ALVENARIA, PARA COLUNAS DE AGUA.</t>
  </si>
  <si>
    <t>8.17</t>
  </si>
  <si>
    <t>8.18</t>
  </si>
  <si>
    <t>EMLURB -18   19.05.050</t>
  </si>
  <si>
    <t xml:space="preserve">FORNECIMENTO E ASSENTAMENTO DE TUBOS SOLDAVEIS DE PVC RIGIDO DIAM. 50 MM, INCLUSIVE CONEXOES E ABERTURA DE RASGOS EM ALVENARIA, PARA COLUNAS DE AGUA. </t>
  </si>
  <si>
    <t xml:space="preserve">EMLURB -18   19.07.147 </t>
  </si>
  <si>
    <t xml:space="preserve">FORNECIMENTO DE CAIXA D'AGUA ELEVADA DE PVC, COM TAMPA, CAPACIDADE PARA 2000 LITROS, INCLUSIVE COLOCACAO. </t>
  </si>
  <si>
    <t xml:space="preserve">SINAPI/19   74131/006 </t>
  </si>
  <si>
    <t>QUADRO DE DISTRIBUICAO DE ENERGIA DE EMBUTIR, EM CHAPA METALICA, PARA 32 DISJUNTORES TERMOMAGNETICOS MONOPOLARES, COM BARRAMENTO TRIFASICO E NEUTRO, FORNECIMENTO E INSTALACAO</t>
  </si>
  <si>
    <t>5.4</t>
  </si>
  <si>
    <t>LAJE PRE-MOLD BETA 11 P/1KN/M2 VAOS 4,40M/INCL VIGOTAS TIJOLOS ARMADUR M2 A NEGATIVA CAPEAMENTO 3CM CONCRETO 20MPA ESCORAMENTO MATERIAL E MAO DE OBRA.</t>
  </si>
  <si>
    <t>SINAPI/19     74141/001</t>
  </si>
  <si>
    <t>EMLURB -18        06.03.103</t>
  </si>
  <si>
    <t>CONCRETO ARMADO PRONTO, FCK 25 MPA CONDICAO A (NBR 12655), LANCADO EM FUNDACOES E ADENSADO, INCLUSIVE FORMA, ESCORAMENTO E FERRAGEM.</t>
  </si>
  <si>
    <t>2.9</t>
  </si>
  <si>
    <t>EMLURB -18  03.02.060</t>
  </si>
  <si>
    <t>TOMBAMENTO MECANICO DE ARVORES COM DIAMETRO DE 0,15 A 0,30 M, INCLUSIVE O DESTOCAMENTO E LIMPEZA DO LOCAL.</t>
  </si>
  <si>
    <t>SINAPI/19   97600</t>
  </si>
  <si>
    <t>REFLETOR EM ALUMÍNIO COM SUPORTE E ALÇA, LÂMPADA 125 W - FORNECIMENTO E INSTALAÇÃO. AF_11/2017</t>
  </si>
  <si>
    <t>9.8</t>
  </si>
  <si>
    <t>9.9</t>
  </si>
  <si>
    <t xml:space="preserve">JANELA DE MADEIRA TIPO VENEZIANA. DE ABRIR, INCLUSAS GUARNICOES E FERRAGENS
</t>
  </si>
  <si>
    <t>SINAPI/19  84845</t>
  </si>
  <si>
    <t xml:space="preserve">GRADIL EM FERRO FIXADO EM VÃOS DE JANELAS, FORMADO POR BARRAS CHATAS DE 25X4,8 MM. AF_04/2019
</t>
  </si>
  <si>
    <t>SINAPI/19  99861</t>
  </si>
  <si>
    <t xml:space="preserve">PORTA DE VIDRO TEMPERADO, 0,9X2,10M, ESPESSURA 10MM, INCLUSIVE ACESSORIOS
</t>
  </si>
  <si>
    <t>5.5</t>
  </si>
  <si>
    <t>SINAPI/19  73838/001</t>
  </si>
  <si>
    <t>5.6</t>
  </si>
  <si>
    <t>GRADE DE PROTECAO DE PORTA EM FERRO C/ VAROES
DE 1/2", ESPAC=10CM E ACABAMENTO EM BARRA CHATA DE 1" X 1/4", INCLUSIVE FECHADURA DE SOBREPOR BRASIL OU SIMILAR E ASSENTAMENTO.</t>
  </si>
  <si>
    <t>EMLURB -18        09.02.020</t>
  </si>
  <si>
    <t>5.7</t>
  </si>
  <si>
    <t>KIT DE PORTA DE MADEIRA PARA PINTURA, SEMI-OCA (LEVE OU MÉDIA), PADRÃO MÉDIO, 80X210CM, ESPESSURA DE 3,5CM, ITENS INCLUSOS: DOBRADIÇAS, MONTAGEM E INSTALAÇÃO DO BATENTE, FECHADURA COM EXECUÇÃO DO FURO - FORNECIMENTO E INSTALAÇÃO. AF_08/2015</t>
  </si>
  <si>
    <t>SINAPI/19  90843</t>
  </si>
  <si>
    <t>COBOGO DE CONCRETO (ELEMENTO VAZADO), 7X50X50CM, ASSENTADO COM ARGAMASSA TRACO 1:4 (CIMENTO E AREIA)</t>
  </si>
  <si>
    <t>SINAPI/19    73937/001</t>
  </si>
  <si>
    <t>REVESTIMENTO CERÂMICO PARA PAREDES INTERNAS COM PLACAS TIPO ESMALTADA  EXTRA DE DIMENSÕES 20X20 CM APLICADAS EM AMBIENTES DE ÁREA MAIOR QUE 5
 M² NA ALTURA INTEIRA DAS PAREDES. AF_06/2014</t>
  </si>
  <si>
    <t xml:space="preserve">SINAPI/19   87265 </t>
  </si>
  <si>
    <t xml:space="preserve"> REVESTIMENTO CERÂMICO PARA PAREDES INTERNAS COM PLACAS TIPO ESMALTADA  EXTRA DE DIMENSÕES 20X20 CM APLICADAS EM AMBIENTES DE ÁREA MAIOR QUE 5  M² A MEIA ALTURA DAS PAREDES. AF_06/2014
 </t>
  </si>
  <si>
    <t>SINAPI/19   87267</t>
  </si>
  <si>
    <t>SINAPI/19   87248</t>
  </si>
  <si>
    <t xml:space="preserve"> REVESTIMENTO CERÂMICO PARA PISO COM PLACAS TIPO ESMALTADA EXTRA DE DIM ENSÕES 35X35 CM APLICADA EM AMBIENTES DE ÁREA MAIOR QUE 10 M2. AF_06/2014 </t>
  </si>
  <si>
    <t>SINAPI/19   94569</t>
  </si>
  <si>
    <t>COMPOSIÇÃO   03</t>
  </si>
  <si>
    <t>RAMPA DE ACESSO COM CORRIMÃO SIMPLES</t>
  </si>
  <si>
    <t>COMPOSIÇÃO 03</t>
  </si>
  <si>
    <t>RAMPA</t>
  </si>
  <si>
    <t>SINAPI/19 74141/001</t>
  </si>
  <si>
    <t>LAJE PRE-MOLD BETA 11</t>
  </si>
  <si>
    <t>SINAPI/19 89168</t>
  </si>
  <si>
    <t>ALVENARIA DE BLOCO CERÂMICO</t>
  </si>
  <si>
    <t>SINAPI/19 99857</t>
  </si>
  <si>
    <t>CORRIMÃO SIMPLES</t>
  </si>
  <si>
    <t>SINAPI/19     72120</t>
  </si>
  <si>
    <t>VIDRO TEMPERADO INCOLOR, ESPESSURA 10MM, FORNECIMENTO E INSTALACAO, INCLUSIVE MASSA PARA VEDACAO</t>
  </si>
  <si>
    <t>5.8</t>
  </si>
  <si>
    <t xml:space="preserve"> SINAPI/19        87532 </t>
  </si>
  <si>
    <t>EMBOÇO, PARA RECEBIMENTO DE CERÂMICA, EM ARGAMASSA TRAÇO 1:2:8, PREPARO MANUAL, APLICADO MANUALMENTE EM FACES INTERNAS DE PAREDES, PARA AMBIENTE COM ÁREA ENTRE 5M2 E 10M2, ESPESSURA DE 20MM, COM EXECUÇÃO DE TALISCAS. AF_06/2014</t>
  </si>
  <si>
    <t>SINAPI/19         97082</t>
  </si>
  <si>
    <t>SINAPI/19         97086</t>
  </si>
  <si>
    <t>SINAPI/19         97096</t>
  </si>
  <si>
    <t>ALVENARIA E FUNDAÇÕES</t>
  </si>
  <si>
    <t>3.4</t>
  </si>
  <si>
    <t>3.5</t>
  </si>
  <si>
    <t>3.6</t>
  </si>
  <si>
    <t>3.7</t>
  </si>
  <si>
    <t>ESCAVAÇÃO MANUAL DE VIGA DE BORDA PARA RADIER. AF_09/2017</t>
  </si>
  <si>
    <t>FABRICAÇÃO, MONTAGEM E DESMONTAGEM DE FORMA PARA RADIER, EM MADEIRA SERRADA, 4 UTILIZAÇÕES. AF_09/2017</t>
  </si>
  <si>
    <t xml:space="preserve"> CONCRETAGEM DE RADIER, PISO OU LAJE SOBRE SOLO, FCK 30 MPA, PARA ESPESSURA DE 20 CM - LANÇAMENTO, ADENSAMENTO E ACABAMENTO. AF_09/2017</t>
  </si>
  <si>
    <t>3.8</t>
  </si>
  <si>
    <t>SINAPI/19         96385</t>
  </si>
  <si>
    <t>EXECUÇÃO E COMPACTAÇÃO DE ATERRO COM SOLO PREDOMINANTEMENTE ARGILOSO - EXCLUSIVE ESCAVAÇÃO, CARGA E TRANSPORTE E SOLO. AF_09/2017</t>
  </si>
  <si>
    <t>PONTO DE CONSUMO TERMINAL DE ÁGUA FRIA (SUBRAMAL) COM TUBULAÇÃO DE PVC , DN 25 MM, INSTALADO EM RAMAL DE ÁGUA, INCLUSOS RASGO E CHUMBAMENTO EM ALVENARIA. AF_12/2014</t>
  </si>
  <si>
    <t>PONTO DE ESGOTO PARA PIA OU LAVANDARIA,INCLUSIVE TUBULACOES E CONEXOES EM PVC RIGIDO SOLDAVEIS , ATE A COLUNA OU O SUB-COLETOR.</t>
  </si>
  <si>
    <t>SINAPI/19      95472</t>
  </si>
  <si>
    <t>VASO SANITARIO SIFONADO CONVENCIONAL PARA PCD SEM FURO FRONTAL COM LOUÇA BRANCA SEM ASSENTO, INCLUSO CONJUNTO DE LIGAÇÃO PARA BACIA SANITÁRIA AJUSTÁVEL - FORNECIMENTO E INSTALAÇÃO. AF_10/201</t>
  </si>
  <si>
    <t>SINAPI/19  00007608</t>
  </si>
  <si>
    <t>CHUVEIRO PLASTICO BRANCO SIMPLES 5 '' PARA ACOPLAR EM HASTE 1/2 ", AGUA FRIA</t>
  </si>
  <si>
    <t>FITA VEDA ROSCA EM ROLOS DE 18 MM X 50 M (L X C)</t>
  </si>
  <si>
    <t>SINAPI/19   00003148</t>
  </si>
  <si>
    <t>SERVENTE COM ENCARGOS COMPLEMENTARES</t>
  </si>
  <si>
    <t>SINAPI/19   00088316</t>
  </si>
  <si>
    <t>COMPOSIÇÃO 04</t>
  </si>
  <si>
    <t xml:space="preserve">CHUVEIRO PLASTICO BRANCO SIMPLES </t>
  </si>
  <si>
    <t>SINAPI/19   93137</t>
  </si>
  <si>
    <t>PONTO DE ILUMINAÇÃO RESIDENCIAL INCLUINDO INTERRUPTOR SIMPLES (2 MÓDULOS), CAIXA ELÉTRICA, ELETRODUTO, CABO, RASGO, QUEBRA E CHUMBAMENTO (EXCLUINDO LUMINÁRIA E LÂMPADA). AF_01/2016</t>
  </si>
  <si>
    <t xml:space="preserve">SINAPI/19   93138 </t>
  </si>
  <si>
    <t>PONTO DE ILUMINAÇÃO RESIDENCIAL INCLUINDO INTERRUPTOR PARALELO, CAIXA ELÉTRICA, ELETRODUTO, CABO, RASGO, QUEBRA E CHUMBAMENTO (EXCLUINDO LUMINÁRIA E LÂMPADA). AF_01/201</t>
  </si>
  <si>
    <t>JANELA DE ALUMÍNIO MAXIMAR, FIXAÇÃO COM PARAFUSO SOBRE CONTRAMARCO (E XCLUSIVE CONTRAMARCO), COM VIDROS, PADRONIZADA. AF_07/2016</t>
  </si>
  <si>
    <t xml:space="preserve">TABELA DE REFERÊNCIA: EMLURB JULHO 2018/SINAPI DESONERADA AGOSTO 2019. </t>
  </si>
  <si>
    <t xml:space="preserve">EMLURB -18  03.03.040 </t>
  </si>
  <si>
    <t>FORNECIMENTO E ASSENTAMENTO DE TAPUME EM CHAPAS DE MADEIRA COMPENSADA DE 6 MM.</t>
  </si>
  <si>
    <t>2.10</t>
  </si>
  <si>
    <t>COMPOSIÇÃO 05</t>
  </si>
  <si>
    <t>AREIA GROSSA - POSTO JAZIDA/FORNECEDOR (RETIRADO NA JAZIDA, SEM TRANSPORTE)</t>
  </si>
  <si>
    <t>0,0110000</t>
  </si>
  <si>
    <t>CIMENTO PORTLAND COMPOSTO CP II-32</t>
  </si>
  <si>
    <t>KG</t>
  </si>
  <si>
    <t>4,8600000</t>
  </si>
  <si>
    <t>UN</t>
  </si>
  <si>
    <t>1,0000000</t>
  </si>
  <si>
    <t>PEDREIRO COM ENCARGOS COMPLEMENTARES</t>
  </si>
  <si>
    <t>1,3400000</t>
  </si>
  <si>
    <t>SINAPI/19  00001379</t>
  </si>
  <si>
    <t>SINAPI/19  00000367</t>
  </si>
  <si>
    <t>SINAPI/19  00088309</t>
  </si>
  <si>
    <t>SINAPI/19  00088316</t>
  </si>
  <si>
    <t>CAIXA DE PROTECAO PARA 1 MEDIDOR TRIFASICO, EM CHAPA DE ACO 20 USG (PADRAO DA CONCESSIONARIA LOCAL)</t>
  </si>
  <si>
    <t xml:space="preserve">SINAPI/19  00039682 </t>
  </si>
  <si>
    <t>9.2</t>
  </si>
  <si>
    <t>9.10</t>
  </si>
  <si>
    <t>9.11</t>
  </si>
  <si>
    <t>9.12</t>
  </si>
  <si>
    <t>9.13</t>
  </si>
  <si>
    <t>9.14</t>
  </si>
  <si>
    <t>SINAPI/19   83475</t>
  </si>
  <si>
    <t>LUMINARIA FECHADA PARA ILUMINACAO PUBLICA COM REATOR DE PARTIDA RAPIDA COM LAMPADA A VAPOR DE MERCURIO 250W - FORNECIMENTO E INSTALACAO</t>
  </si>
  <si>
    <t>BRACO P/ ILUMINACAO DE RUAS EM TUBO ACO GALV 1" COMP = 1,20M E INCLINACAO 25GRAUS EM RELACAO AO PLANO VERTICAL P/ FIXACAO EM POSTE OU PAREDE - FORNECIMENTO E INSTALACAO</t>
  </si>
  <si>
    <t>SINAPI/19   93143</t>
  </si>
  <si>
    <t>PONTO DE TOMADA RESIDENCIAL INCLUINDO TOMADA 20A/250V, CAIXA ELÉTRICA, ELETRODUTO, CABO, RASGO, QUEBRA E CHUMBAMENTO. AF_01/2016</t>
  </si>
  <si>
    <t>SINAPI/19   96986</t>
  </si>
  <si>
    <t>HASTE DE ATERRAMENTO 3/4 PARA SPDA - FORNECIMENTO E INSTALAÇÃO. AF_12/2016</t>
  </si>
  <si>
    <t>SINAPI/19   97887</t>
  </si>
  <si>
    <t>CAIXA ENTERRADA ELÉTRICA RETANGULAR, EM ALVENARIA COM TIJOLOS CERÂMICOS MACIÇOS, FUNDO COM BRITA, DIMENSÕES INTERNAS: 0,4X0,4X0,4 M. AF_05/2018</t>
  </si>
  <si>
    <t>SINAPI/19   93128</t>
  </si>
  <si>
    <t>PONTO DE ILUMINAÇÃO RESIDENCIAL INCLUINDO INTERRUPTOR SIMPLES, CAIXA ELÉTRICA, ELETRODUTO, CABO, RASGO, QUEBRA E CHUMBAMENTO (EXCLUINDO LUMINÁRIA E LÂMPADA). AF_01/2016</t>
  </si>
  <si>
    <t>SINAPI/19   91930</t>
  </si>
  <si>
    <t>CABO DE COBRE FLEXÍVEL ISOLADO, 6 MM², ANTI-CHAMA 450/750 V, PARA CIRCUITOS TERMINAIS - FORNECIMENTO E INSTALAÇÃO. AF_12/201</t>
  </si>
  <si>
    <t>SINAPI/19   83399</t>
  </si>
  <si>
    <t>9.15</t>
  </si>
  <si>
    <t>9.16</t>
  </si>
  <si>
    <t>9.17</t>
  </si>
  <si>
    <t>9.18</t>
  </si>
  <si>
    <t>9.19</t>
  </si>
  <si>
    <t>RELE FOTOELETRICO P/ COMANDO DE ILUMINACAO EXTERNA 220V/1000W - FORNECIMENTO E INSTALACAO</t>
  </si>
  <si>
    <t>COMPOSIÇÃO 06</t>
  </si>
  <si>
    <t>RASGO EM ALVENARIA PARA ELETRODUTOS COM DIAMETROS MENORES OU IGUAIS A 40 MM. AF_05/2015</t>
  </si>
  <si>
    <t>2,2000000</t>
  </si>
  <si>
    <t>QUEBRA EM ALVENARIA PARA INSTALAÇÃO DE CAIXA DE TOMADA (4X4 OU 4X2). AF_05/2015</t>
  </si>
  <si>
    <t>CHUMBAMENTO LINEAR EM ALVENARIA PARA RAMAIS/DISTRIBUIÇÃO COM DIÂMETROS MENORES OU IGUAIS A 40 MM. AF_05/2015</t>
  </si>
  <si>
    <t>ELETRODUTO FLEXÍVEL CORRUGADO, PVC, DN 20 MM (1/2"), PARA CIRCUITOS TERMINAIS, INSTALADO EM LAJE - FORNECIMENTO E INSTALAÇÃO. AF_12/2015</t>
  </si>
  <si>
    <t>2,0000000</t>
  </si>
  <si>
    <t>ELETRODUTO FLEXÍVEL CORRUGADO, PVC, DN 20 MM (1/2"), PARA CIRCUITOS TERMINAIS, INSTALADO EM PAREDE - FORNECIMENTO E INSTALAÇÃO. AF_12/2015</t>
  </si>
  <si>
    <t>CABO DE COBRE FLEXÍVEL ISOLADO, 2,5 MM², ANTI-CHAMA 450/750 V, PARA CIRCUITOS TERMINAIS - FORNECIMENTO E INSTALAÇÃO. AF_12/2015</t>
  </si>
  <si>
    <t>12,6000000</t>
  </si>
  <si>
    <t>CAIXA OCTOGONAL 3" X 3", PVC, INSTALADA EM LAJE - FORNECIMENTO E INSTALAÇÃO. AF_12/2015</t>
  </si>
  <si>
    <t>0,3750000</t>
  </si>
  <si>
    <t>CAIXA RETANGULAR 4" X 2" MÉDIA (1,30 M DO PISO), PVC, INSTALADA EM PAREDE - FORNECIMENTO E INSTALAÇÃO. AF_12/2015</t>
  </si>
  <si>
    <t>SINAPI/19  90447</t>
  </si>
  <si>
    <t>SINAPI/19  90456</t>
  </si>
  <si>
    <t>SINAPI/19  90466</t>
  </si>
  <si>
    <t>SINAPI/19  91842</t>
  </si>
  <si>
    <t>SINAPI/19  91852</t>
  </si>
  <si>
    <t>SINAPI/19  91926</t>
  </si>
  <si>
    <t>SINAPI/19  91937</t>
  </si>
  <si>
    <t>SINAPI/19  91940</t>
  </si>
  <si>
    <t>PREÇO UNIT</t>
  </si>
  <si>
    <t>SINAPI/19  91993</t>
  </si>
  <si>
    <t>TOMADA ALTA DE EMBUTIR (1 MÓDULO), 2P+T 20 A, INCLUINDO SUPORTE E PLACA - FORNECIMENTO E INSTALAÇÃO. AF_12/2015</t>
  </si>
  <si>
    <t>PONTO DE TOMADA ALTA RESIDENCIAL INCLUINDO TOMADA 20A/250V, CAIXA ELÉTRICA, ELETRODUTO, CABO, RASGO, QUEBRA E CHUMBAMENTO. AF_01/2016</t>
  </si>
  <si>
    <t>COMPOSIÇÃO 07</t>
  </si>
  <si>
    <t>PONTO DE TOMADA BAIXA RESIDENCIAL INCLUINDO TOMADA 20A/250V, CAIXA ELÉTRICA, ELETRODUTO, CABO, RASGO, QUEBRA E CHUMBAMENTO. AF_01/2016</t>
  </si>
  <si>
    <t xml:space="preserve">SINAPI/19  92001 </t>
  </si>
  <si>
    <t>TOMADA BAIXA DE EMBUTIR (1 MÓDULO), 2P+T 20 A, INCLUINDO SUPORTE E PLACA - FORNECIMENTO E INSTALAÇÃO. AF_12/2015</t>
  </si>
  <si>
    <t>SINAPI/19   93655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</si>
  <si>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</si>
  <si>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</si>
  <si>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</si>
  <si>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</si>
  <si>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</si>
  <si>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</si>
  <si>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</si>
  <si>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</si>
  <si>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</si>
  <si>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DISJUNTOR MONOPOLAR TIPO DIN, CORRENTE NOMINAL DE 20A - FORNECIMENTO E INSTALAÇÃO. AF_04/2016</t>
  </si>
  <si>
    <t>SINAPI/19   93657</t>
  </si>
  <si>
    <t>DISJUNTOR MONOPOLAR TIPO DIN, CORRENTE NOMINAL DE 32A - FORNECIMENTO E INSTALAÇÃO. AF_04/2016</t>
  </si>
  <si>
    <t>SINAPI/19   91932</t>
  </si>
  <si>
    <t>CABO DE COBRE FLEXÍVEL ISOLADO, 10 MM², ANTI-CHAMA 450/750 V, PARA CIR M CR 11,13
CUITOS TERMINAIS - FORNECIMENTO E INSTALAÇÃO. AF_12/2015</t>
  </si>
  <si>
    <t>SINAPI/19   97592</t>
  </si>
  <si>
    <t>LUMINÁRIA TIPO PLAFON, DE SOBREPOR, COM 1 LÂMPADA LED - FORNECIMENTO E INSTALAÇÃO. AF_11/201</t>
  </si>
  <si>
    <t>SINAPI/19     94228</t>
  </si>
  <si>
    <t>CALHA EM CHAPA DE AÇO GALVANIZADO NÚMERO 24, DESENVOLVIMENTO DE 50 CM, INCLUSO TRANSPORTE VERTICAL. AF_07/2019</t>
  </si>
  <si>
    <t>RUFO EM CHAPA DE AÇO GALVANIZADO NÚMERO 24, CORTE DE 25 CM, INCLUSO TRANSPORTE VERTICAL. AF_07/2019</t>
  </si>
  <si>
    <t>SINAPI/19     94231</t>
  </si>
  <si>
    <t xml:space="preserve">SINAPI/19    93009 </t>
  </si>
  <si>
    <t>ELETRODUTO RÍGIDO ROSCÁVEL, PVC, DN 60 MM (2") - FORNECIMENTO E INSTALAÇÃO. AF_12/2015</t>
  </si>
  <si>
    <t xml:space="preserve">SINAPI/19    93020 </t>
  </si>
  <si>
    <t>CURVA 90 GRAUS PARA ELETRODUTO, PVC, ROSCÁVEL, DN 60 MM (2") - FORNECIMENTO E INSTALAÇÃO. AF_12/2015</t>
  </si>
  <si>
    <t>SINAPI/19    93014</t>
  </si>
  <si>
    <t>LUVA PARA ELETRODUTO, PVC, ROSCÁVEL, DN 60 MM (2") - FORNECIMENTO E INSTALAÇÃO. AF_12/2015</t>
  </si>
  <si>
    <t>SINAPI/19    97668</t>
  </si>
  <si>
    <t>ELETRODUTO FLEXÍVEL CORRUGADO, PEAD, DN 63 (2") - FORNECIMENTO E INSTALAÇÃO. AF_04/2016</t>
  </si>
  <si>
    <t>2.11</t>
  </si>
  <si>
    <t>SINAPI/19   97637</t>
  </si>
  <si>
    <t>REMOÇÃO DE TAPUME/ CHAPAS METÁLICAS E DE MADEIRA, DE FORMA MANUAL, SEM REAPROVEITAMENTO. AF_12/201</t>
  </si>
  <si>
    <t>2.12</t>
  </si>
  <si>
    <t>SINAPI/19   97662</t>
  </si>
  <si>
    <t>REMOÇÃO DE TUBULAÇÕES (TUBOS E CONEXÕES) DE ÁGUA FRIA, DE FORMA MANUAL, SEM REAPROVEITAMENTO. AF_12/2017</t>
  </si>
  <si>
    <t>DIAS ÚTEIS POR MÊS</t>
  </si>
  <si>
    <t>MESES</t>
  </si>
  <si>
    <t>HORAS/DIA</t>
  </si>
  <si>
    <t>SINAPI/19  90776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</si>
  <si>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</si>
  <si>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SINAPI/19   88486</t>
  </si>
  <si>
    <t>APLICAÇÃO MANUAL DE PINTURA COM TINTA LÁTEX PVA EM TETO, DUAS DEMÃOS. AF_06/2014</t>
  </si>
  <si>
    <t>EMLURB -        17.01.142</t>
  </si>
  <si>
    <t xml:space="preserve">PASSEIO EM LAJOTA DE CONCRETO ANTIDERRAPANTE  30X30CM, TATIL ALERTA E DIRECIONAL, NATURAL,  APLICADO SOBRE LASTRO DE CONCRETO JA PRONTO. </t>
  </si>
  <si>
    <t>SINAPI/19     74141/003</t>
  </si>
  <si>
    <t>LAJE PRE-MOLD BETA 16 P/3,5KN/M2 VAO 5,2M INCL VIGOTAS TIJOLOS ARMADURA NEGATIVA CAPEAMENTO 3CM CONCRETO 15MPA ESCORAMENTO MATERIAL E MAO DE OBRA</t>
  </si>
  <si>
    <t xml:space="preserve">SINAPI/19  00038181 </t>
  </si>
  <si>
    <t>PISO TATIL ALERTA OU DIRECIONAL, DE BORRACHA, COLORIDO, 25 X 25 CM, E = 5 MM, PARA COLA</t>
  </si>
  <si>
    <t>SINAPI/ 19   92543</t>
  </si>
  <si>
    <t xml:space="preserve"> TRAMA DE MADEIRA COMPOSTA POR TERÇAS PARA TELHADOS DE ATÉ 2 ÁGUAS PARA TELHA ONDULADA DE FIBROCIMENTO, METÁLICA, PLÁSTICA OU TERMOACÚSTICA,INCLUSO TRANSPORTE VERTICAL. AF_07/2019</t>
  </si>
  <si>
    <t>SINAPI/2019  86876</t>
  </si>
  <si>
    <t xml:space="preserve"> TANQUE DE MÁRMORE SINTÉTICO SUSPENSO, 22L OU EQUIVALENTE - FORNECIMENT O E INSTALAÇÃO. AF_12/2013 </t>
  </si>
  <si>
    <t>SINAPI/19   93396</t>
  </si>
  <si>
    <t xml:space="preserve"> BANCADA GRANITO CINZA POLIDO 0,50 X 0,60M, INCL. CUBA DE EMBUTIR OVAL  LOUÇA BRANCA 35 X 50CM, VÁLVULA METAL CROMADO, SIFÃO FLEXÍVEL PVC, ENG ATE 30CM FLEXÍVEL PLÁSTICO E TORNEIRA CROMADA DE MESA, PADRÃO POPULAR  - FORNEC. E INSTALAÇÃO. AF_12/2013</t>
  </si>
  <si>
    <t>8.19</t>
  </si>
  <si>
    <t>SINAPI/19  93441</t>
  </si>
  <si>
    <t xml:space="preserve"> BANCADA DE GRANITO CINZA POLIDO 150 X 60 CM, COM CUBA DE EMBUTIR DE AÇ O INOXIDÁVEL MÉDIA, VÁLVULA AMERICANA EM METAL CROMADO, SIFÃO FLEXÍVEL  EM PVC, ENGATE FLEXÍVEL 30 CM, TORNEIRA CROMADA LONGA DE PAREDE, 1/2 OU 3/4, PARA PIA DE COZINHA, PADRÃO POPULAR- FORNEC. E INSTAL. AF_12/2 013</t>
  </si>
  <si>
    <t>8.20</t>
  </si>
  <si>
    <t>SINAPI/19   86939</t>
  </si>
  <si>
    <t>LAVATÓRIO LOUÇA BRANCA COM COLUNA, *44 X 35,5* CM, PADRÃO POPULAR, INC LUSO SIFÃO FLEXÍVEL EM PVC, VÁLVULA E ENGATE FLEXÍVEL 30CM EM PLÁSTICO  E COM TORNEIRA CROMADA PADRÃO POPULAR - FORNECIMENTO E INSTALAÇÃO. AF _12/2013</t>
  </si>
  <si>
    <t>SINAPI/2019  86942</t>
  </si>
  <si>
    <t xml:space="preserve"> LAVATÓRIO LOUÇA BRANCA SUSPENSO, 29,5 X 39CM OU EQUIVALENTE, PADRÃO POPULAR, INCLUSO SIFÃO TIPO GARRAFA EM PVC, VÁLVULA E ENGATE FLEXÍVEL 30  CM EM PLÁSTICO E TORNEIRA CROMADA DE MESA, PADRÃO POPULAR - FORNECIMEN TO E INSTALAÇÃO. AF_12/2013</t>
  </si>
  <si>
    <t>8.21</t>
  </si>
  <si>
    <t>8.22</t>
  </si>
  <si>
    <t>8.23</t>
  </si>
  <si>
    <t>8.24</t>
  </si>
  <si>
    <t xml:space="preserve">EMLURB -18   19.01.010 </t>
  </si>
  <si>
    <t>PONTO DE ESGOTO PARA BACIA SANITARIA, INCLUSIVE
TUBULACOES E CONEXOES EM PVC RIGI DO
SOLDAVEIS, ATE A COLUNA OU O SUB-COLE- TOR.</t>
  </si>
  <si>
    <t>SINAPI/19     83400</t>
  </si>
  <si>
    <t>150 DIAS</t>
  </si>
  <si>
    <t>180 DIAS</t>
  </si>
  <si>
    <t>SINAPI/2019  95545</t>
  </si>
  <si>
    <t>SABONETEIRA DE PAREDE EM METAL CROMADO, INCLUSO FIXAÇÃO. AF_10/2016</t>
  </si>
  <si>
    <t>PORTA TOALHA BANHO EM METAL CROMADO, TIPO BARRA, INCLUSO FIXAÇÃO. AF_10/2016</t>
  </si>
  <si>
    <t>SINAPI/2019  95543</t>
  </si>
  <si>
    <t>SINAPI/2019  95544</t>
  </si>
  <si>
    <t>8.25</t>
  </si>
  <si>
    <t>8.26</t>
  </si>
  <si>
    <t>8.27</t>
  </si>
  <si>
    <t>PAPELEIRA DE PAREDE EM METAL CROMADO SEM TAMPA, INCLUSO FIXAÇÃO. AF_10/2016</t>
  </si>
  <si>
    <t>8.28</t>
  </si>
  <si>
    <t>8.29</t>
  </si>
  <si>
    <t>3.9</t>
  </si>
  <si>
    <t>SINAPI/19         96523</t>
  </si>
  <si>
    <t>ESCAVAÇÃO MANUAL PARA BLOCO DE COROAMENTO OU SAPATA, COM PREVISÃO DE FÔRMA. AF_06/201</t>
  </si>
  <si>
    <t>EMLURB - 18 18.02.040</t>
  </si>
  <si>
    <t xml:space="preserve">POSTE DE CONCRETO SECCAO DUPLO T, 200/12, COM ENGASTAMENTO DIRETO NO SOLO DE 1,80 M, INCLUSIVE COLOCACAO. </t>
  </si>
  <si>
    <t>EMLURB - 18 18.09.030</t>
  </si>
  <si>
    <t xml:space="preserve">FORNECIMENTO E ASSENTAMENTO DE CAIXA PARA MEDICAO TRIFASICA E CAIXA PARA DISJUNTOR TRIFASICO DE POLICARBONATO E NORYL CINZA, INCLUSIVE BUCHAS PLASTICAS E PARAFUSOS PARA INSTALACAO DAS CAIXAS EM PAREDE (PADRAO CELPE) SEM DISJUNTOR. </t>
  </si>
  <si>
    <t>9.29</t>
  </si>
  <si>
    <t>EMLURB - 18 18.20.030</t>
  </si>
  <si>
    <t xml:space="preserve">DISJUNTOR TRIPOLAR TERMOMAGNETICO ATE 50A, 380V, PIAL OU SIMILAR, INCLUSIVE INSTALACAO EM QUADRO DE DISTRIBUICAO. </t>
  </si>
  <si>
    <t xml:space="preserve"> TORNEIRA PLÁSTICA 3/4" PARA TANQUE - FORNECIMENTO E INSTALAÇÃO. AF_12/2013</t>
  </si>
  <si>
    <t>EMLURB -18 15.02.060</t>
  </si>
  <si>
    <t>EMLURB - 18 19.07.031</t>
  </si>
  <si>
    <t>CJ</t>
  </si>
  <si>
    <t>EMLURB - 18 19.07.100</t>
  </si>
  <si>
    <t>FORNECIMENTO E ASSENTAMENTO DE  CUBA  SIMPLES   DE ACO INOXIDAVEL, MEKAL OU SIMILAR, NAS  DI-   MENSOES 0.40 X 0,34 X 0,15 M, INCLUSIVE ACES-   SORIOS CORRESPONDENTES.</t>
  </si>
  <si>
    <t>SINAPI/19    86916</t>
  </si>
  <si>
    <t xml:space="preserve">FORNECIMENTO DE BALCAO EM GRANITO NATURAL POLIDO CINZA ANDORINHA, COM 2CM DE ESPESSURA,IN   CLUSIVE CORTE PARA DUAS CUBAS, TRANSPORTE, MONTAGEM E ASSENTAMENTO. </t>
  </si>
  <si>
    <t>FORNECIMENTO E ASSENTAMENTO DE CUBA DE EMBUTIR, OVAL, DIM 42X32,5CM, DE LOUCA BRANCA,CELITE OU SIMILAR, INCLUSIVE ACESSORIOS CORRESPONDENTES.</t>
  </si>
  <si>
    <t>8.30</t>
  </si>
  <si>
    <t>8.31</t>
  </si>
  <si>
    <t>8.32</t>
  </si>
  <si>
    <t>8.33</t>
  </si>
  <si>
    <t>10.0</t>
  </si>
  <si>
    <t>SERVIÇOS FINAIS</t>
  </si>
  <si>
    <t>10.1</t>
  </si>
  <si>
    <t>SEINFRA 026.1 - 
C1628</t>
  </si>
  <si>
    <t>LIMPEZA GERAL</t>
  </si>
  <si>
    <t>10.2</t>
  </si>
  <si>
    <t>AS BUILT</t>
  </si>
  <si>
    <t>COMPOSIÇÃO 08</t>
  </si>
  <si>
    <t>SINAPI/19 90773</t>
  </si>
  <si>
    <t>DESENHISTA COPISTA COM ENCARGOS COMPLEMENTARES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</si>
</sst>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"/>
    <numFmt numFmtId="165" formatCode="&quot;R$&quot;\ #,##0.00"/>
    <numFmt numFmtId="166" formatCode="&quot;R$ &quot;#,##0.00"/>
    <numFmt numFmtId="167" formatCode="_(* #,##0.00_);_(* \(#,##0.00\);_(* &quot;-&quot;??_);_(@_)"/>
    <numFmt numFmtId="168" formatCode="#,##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rgb="FF000000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0"/>
      <name val="Arial"/>
      <family val="2"/>
    </font>
    <font>
      <b/>
      <sz val="24"/>
      <color theme="1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249977111117893"/>
        <bgColor indexed="31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404">
    <xf numFmtId="0" fontId="0" fillId="0" borderId="0" xfId="0"/>
    <xf numFmtId="43" fontId="6" fillId="3" borderId="10" xfId="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3" fontId="6" fillId="0" borderId="10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0" borderId="10" xfId="2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8" fillId="6" borderId="10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164" fontId="8" fillId="7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164" fontId="8" fillId="8" borderId="10" xfId="0" applyNumberFormat="1" applyFont="1" applyFill="1" applyBorder="1" applyAlignment="1">
      <alignment horizontal="center" vertical="center" wrapText="1"/>
    </xf>
    <xf numFmtId="0" fontId="8" fillId="8" borderId="10" xfId="0" applyNumberFormat="1" applyFont="1" applyFill="1" applyBorder="1" applyAlignment="1">
      <alignment horizontal="center" vertical="center" wrapText="1"/>
    </xf>
    <xf numFmtId="0" fontId="8" fillId="7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" fontId="9" fillId="3" borderId="10" xfId="0" applyNumberFormat="1" applyFont="1" applyFill="1" applyBorder="1" applyAlignment="1">
      <alignment horizontal="center" vertical="center"/>
    </xf>
    <xf numFmtId="43" fontId="6" fillId="2" borderId="10" xfId="1" applyNumberFormat="1" applyFont="1" applyFill="1" applyBorder="1" applyAlignment="1">
      <alignment horizontal="center" vertical="center" wrapText="1"/>
    </xf>
    <xf numFmtId="164" fontId="8" fillId="9" borderId="10" xfId="0" applyNumberFormat="1" applyFont="1" applyFill="1" applyBorder="1" applyAlignment="1">
      <alignment horizontal="center" vertical="center" wrapText="1"/>
    </xf>
    <xf numFmtId="0" fontId="9" fillId="2" borderId="10" xfId="4" applyNumberFormat="1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6" fillId="0" borderId="10" xfId="1" applyNumberFormat="1" applyFont="1" applyFill="1" applyBorder="1" applyAlignment="1">
      <alignment horizontal="center" vertical="center" wrapText="1"/>
    </xf>
    <xf numFmtId="4" fontId="6" fillId="3" borderId="10" xfId="1" applyNumberFormat="1" applyFont="1" applyFill="1" applyBorder="1" applyAlignment="1">
      <alignment horizontal="center" vertical="center" wrapText="1"/>
    </xf>
    <xf numFmtId="4" fontId="6" fillId="2" borderId="10" xfId="1" applyNumberFormat="1" applyFont="1" applyFill="1" applyBorder="1" applyAlignment="1">
      <alignment horizontal="center" vertical="center" wrapText="1"/>
    </xf>
    <xf numFmtId="4" fontId="8" fillId="0" borderId="10" xfId="1" applyNumberFormat="1" applyFont="1" applyFill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30" xfId="0" applyFill="1" applyBorder="1"/>
    <xf numFmtId="0" fontId="14" fillId="2" borderId="0" xfId="0" applyFont="1" applyFill="1" applyBorder="1" applyAlignment="1">
      <alignment vertical="center"/>
    </xf>
    <xf numFmtId="0" fontId="0" fillId="2" borderId="32" xfId="0" applyFill="1" applyBorder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/>
    <xf numFmtId="0" fontId="0" fillId="2" borderId="34" xfId="0" applyFill="1" applyBorder="1"/>
    <xf numFmtId="0" fontId="15" fillId="2" borderId="0" xfId="0" applyFont="1" applyFill="1" applyBorder="1" applyAlignment="1">
      <alignment vertical="top"/>
    </xf>
    <xf numFmtId="0" fontId="0" fillId="2" borderId="0" xfId="0" applyFill="1" applyBorder="1"/>
    <xf numFmtId="0" fontId="18" fillId="2" borderId="10" xfId="7" applyFont="1" applyFill="1" applyBorder="1" applyAlignment="1">
      <alignment horizontal="center" vertical="center" wrapText="1"/>
    </xf>
    <xf numFmtId="4" fontId="18" fillId="2" borderId="10" xfId="7" applyNumberFormat="1" applyFont="1" applyFill="1" applyBorder="1" applyAlignment="1">
      <alignment horizontal="center" vertical="center"/>
    </xf>
    <xf numFmtId="4" fontId="20" fillId="2" borderId="10" xfId="7" applyNumberFormat="1" applyFont="1" applyFill="1" applyBorder="1" applyAlignment="1">
      <alignment horizontal="center" vertical="center"/>
    </xf>
    <xf numFmtId="0" fontId="20" fillId="2" borderId="0" xfId="7" applyFont="1" applyFill="1" applyBorder="1" applyAlignment="1">
      <alignment horizontal="center" vertical="center" wrapText="1"/>
    </xf>
    <xf numFmtId="4" fontId="18" fillId="0" borderId="10" xfId="7" applyNumberFormat="1" applyFont="1" applyFill="1" applyBorder="1" applyAlignment="1">
      <alignment horizontal="center" vertical="center"/>
    </xf>
    <xf numFmtId="164" fontId="23" fillId="7" borderId="10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24" fillId="0" borderId="10" xfId="7" applyNumberFormat="1" applyFont="1" applyFill="1" applyBorder="1" applyAlignment="1">
      <alignment horizontal="center" vertical="center"/>
    </xf>
    <xf numFmtId="0" fontId="26" fillId="0" borderId="10" xfId="4" applyFont="1" applyBorder="1" applyAlignment="1">
      <alignment horizontal="center" vertical="top" wrapText="1"/>
    </xf>
    <xf numFmtId="165" fontId="0" fillId="2" borderId="10" xfId="0" applyNumberFormat="1" applyFont="1" applyFill="1" applyBorder="1" applyAlignment="1">
      <alignment horizontal="center"/>
    </xf>
    <xf numFmtId="165" fontId="0" fillId="0" borderId="0" xfId="0" applyNumberFormat="1"/>
    <xf numFmtId="0" fontId="26" fillId="0" borderId="10" xfId="4" applyFont="1" applyFill="1" applyBorder="1" applyAlignment="1">
      <alignment horizontal="center"/>
    </xf>
    <xf numFmtId="0" fontId="26" fillId="0" borderId="10" xfId="4" applyFont="1" applyFill="1" applyBorder="1" applyAlignment="1">
      <alignment horizontal="center" wrapText="1"/>
    </xf>
    <xf numFmtId="0" fontId="26" fillId="0" borderId="10" xfId="4" applyFont="1" applyFill="1" applyBorder="1" applyAlignment="1">
      <alignment horizontal="justify" wrapText="1"/>
    </xf>
    <xf numFmtId="10" fontId="27" fillId="0" borderId="10" xfId="6" applyNumberFormat="1" applyFont="1" applyBorder="1" applyAlignment="1">
      <alignment horizontal="center"/>
    </xf>
    <xf numFmtId="10" fontId="27" fillId="0" borderId="10" xfId="6" applyNumberFormat="1" applyFont="1" applyFill="1" applyBorder="1" applyAlignment="1">
      <alignment horizontal="center"/>
    </xf>
    <xf numFmtId="0" fontId="26" fillId="11" borderId="10" xfId="4" applyFont="1" applyFill="1" applyBorder="1" applyAlignment="1">
      <alignment horizontal="center" vertical="center"/>
    </xf>
    <xf numFmtId="0" fontId="27" fillId="3" borderId="10" xfId="4" applyFont="1" applyFill="1" applyBorder="1" applyAlignment="1">
      <alignment horizontal="center"/>
    </xf>
    <xf numFmtId="166" fontId="0" fillId="0" borderId="0" xfId="0" applyNumberFormat="1"/>
    <xf numFmtId="0" fontId="26" fillId="11" borderId="10" xfId="4" applyFont="1" applyFill="1" applyBorder="1" applyAlignment="1">
      <alignment horizontal="center"/>
    </xf>
    <xf numFmtId="0" fontId="26" fillId="11" borderId="10" xfId="4" applyFont="1" applyFill="1" applyBorder="1" applyAlignment="1">
      <alignment horizontal="left" vertical="top" wrapText="1"/>
    </xf>
    <xf numFmtId="166" fontId="26" fillId="0" borderId="10" xfId="4" applyNumberFormat="1" applyFont="1" applyBorder="1" applyAlignment="1">
      <alignment horizontal="center"/>
    </xf>
    <xf numFmtId="2" fontId="27" fillId="3" borderId="10" xfId="4" applyNumberFormat="1" applyFont="1" applyFill="1" applyBorder="1" applyAlignment="1">
      <alignment horizontal="center"/>
    </xf>
    <xf numFmtId="165" fontId="0" fillId="0" borderId="10" xfId="0" applyNumberFormat="1" applyBorder="1"/>
    <xf numFmtId="0" fontId="27" fillId="2" borderId="10" xfId="4" applyFont="1" applyFill="1" applyBorder="1" applyAlignment="1">
      <alignment horizontal="center"/>
    </xf>
    <xf numFmtId="166" fontId="27" fillId="0" borderId="10" xfId="6" applyNumberFormat="1" applyFont="1" applyBorder="1" applyAlignment="1">
      <alignment horizontal="center"/>
    </xf>
    <xf numFmtId="0" fontId="27" fillId="0" borderId="10" xfId="4" applyFont="1" applyBorder="1"/>
    <xf numFmtId="0" fontId="26" fillId="0" borderId="10" xfId="4" applyFont="1" applyBorder="1" applyAlignment="1">
      <alignment horizontal="right" wrapText="1"/>
    </xf>
    <xf numFmtId="2" fontId="26" fillId="0" borderId="10" xfId="4" applyNumberFormat="1" applyFont="1" applyBorder="1" applyAlignment="1">
      <alignment horizontal="center"/>
    </xf>
    <xf numFmtId="165" fontId="5" fillId="2" borderId="0" xfId="0" applyNumberFormat="1" applyFont="1" applyFill="1" applyBorder="1"/>
    <xf numFmtId="2" fontId="27" fillId="0" borderId="39" xfId="4" applyNumberFormat="1" applyFont="1" applyBorder="1" applyAlignment="1">
      <alignment horizontal="center" vertical="center"/>
    </xf>
    <xf numFmtId="0" fontId="26" fillId="0" borderId="11" xfId="4" applyFont="1" applyBorder="1" applyAlignment="1">
      <alignment horizontal="right" wrapText="1"/>
    </xf>
    <xf numFmtId="165" fontId="5" fillId="2" borderId="10" xfId="0" applyNumberFormat="1" applyFont="1" applyFill="1" applyBorder="1"/>
    <xf numFmtId="2" fontId="27" fillId="0" borderId="36" xfId="4" applyNumberFormat="1" applyFont="1" applyBorder="1" applyAlignment="1">
      <alignment horizontal="center" vertical="center"/>
    </xf>
    <xf numFmtId="4" fontId="26" fillId="0" borderId="39" xfId="4" applyNumberFormat="1" applyFont="1" applyBorder="1" applyAlignment="1">
      <alignment horizontal="center" wrapText="1"/>
    </xf>
    <xf numFmtId="0" fontId="26" fillId="0" borderId="10" xfId="4" applyFont="1" applyBorder="1" applyAlignment="1">
      <alignment horizontal="center" wrapText="1"/>
    </xf>
    <xf numFmtId="4" fontId="28" fillId="2" borderId="30" xfId="0" applyNumberFormat="1" applyFont="1" applyFill="1" applyBorder="1" applyAlignment="1"/>
    <xf numFmtId="4" fontId="28" fillId="2" borderId="31" xfId="0" applyNumberFormat="1" applyFont="1" applyFill="1" applyBorder="1" applyAlignment="1"/>
    <xf numFmtId="4" fontId="21" fillId="2" borderId="0" xfId="0" applyNumberFormat="1" applyFont="1" applyFill="1" applyBorder="1"/>
    <xf numFmtId="4" fontId="28" fillId="2" borderId="32" xfId="0" applyNumberFormat="1" applyFont="1" applyFill="1" applyBorder="1" applyAlignment="1"/>
    <xf numFmtId="4" fontId="28" fillId="2" borderId="0" xfId="0" applyNumberFormat="1" applyFont="1" applyFill="1" applyBorder="1" applyAlignment="1"/>
    <xf numFmtId="0" fontId="0" fillId="2" borderId="32" xfId="0" applyFill="1" applyBorder="1" applyAlignment="1"/>
    <xf numFmtId="0" fontId="0" fillId="2" borderId="0" xfId="0" applyFill="1" applyBorder="1" applyAlignment="1"/>
    <xf numFmtId="0" fontId="0" fillId="2" borderId="35" xfId="0" applyFill="1" applyBorder="1"/>
    <xf numFmtId="0" fontId="0" fillId="2" borderId="36" xfId="0" applyFill="1" applyBorder="1"/>
    <xf numFmtId="0" fontId="0" fillId="2" borderId="33" xfId="0" applyFill="1" applyBorder="1"/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65" fontId="29" fillId="0" borderId="12" xfId="0" applyNumberFormat="1" applyFont="1" applyBorder="1" applyAlignment="1">
      <alignment horizontal="center" vertical="center"/>
    </xf>
    <xf numFmtId="165" fontId="5" fillId="12" borderId="12" xfId="0" applyNumberFormat="1" applyFont="1" applyFill="1" applyBorder="1" applyAlignment="1">
      <alignment horizontal="center" vertical="center"/>
    </xf>
    <xf numFmtId="164" fontId="8" fillId="7" borderId="9" xfId="0" applyNumberFormat="1" applyFont="1" applyFill="1" applyBorder="1" applyAlignment="1">
      <alignment horizontal="center" vertical="center"/>
    </xf>
    <xf numFmtId="0" fontId="30" fillId="0" borderId="0" xfId="0" applyFont="1"/>
    <xf numFmtId="164" fontId="8" fillId="13" borderId="10" xfId="0" applyNumberFormat="1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165" fontId="0" fillId="3" borderId="10" xfId="0" applyNumberFormat="1" applyFill="1" applyBorder="1"/>
    <xf numFmtId="165" fontId="0" fillId="2" borderId="10" xfId="0" applyNumberFormat="1" applyFill="1" applyBorder="1"/>
    <xf numFmtId="0" fontId="11" fillId="2" borderId="10" xfId="0" applyFont="1" applyFill="1" applyBorder="1" applyAlignment="1">
      <alignment horizontal="left" vertical="center" wrapText="1"/>
    </xf>
    <xf numFmtId="0" fontId="5" fillId="11" borderId="10" xfId="4" applyFont="1" applyFill="1" applyBorder="1" applyAlignment="1">
      <alignment vertical="top" wrapText="1"/>
    </xf>
    <xf numFmtId="2" fontId="8" fillId="8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0" fillId="0" borderId="0" xfId="0" applyNumberFormat="1"/>
    <xf numFmtId="0" fontId="11" fillId="3" borderId="10" xfId="0" applyFont="1" applyFill="1" applyBorder="1" applyAlignment="1">
      <alignment horizontal="center" vertical="center" wrapText="1"/>
    </xf>
    <xf numFmtId="4" fontId="7" fillId="1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6" fillId="0" borderId="12" xfId="1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2" fontId="5" fillId="8" borderId="0" xfId="0" applyNumberFormat="1" applyFont="1" applyFill="1" applyBorder="1" applyAlignment="1">
      <alignment horizontal="center" vertical="center"/>
    </xf>
    <xf numFmtId="165" fontId="5" fillId="8" borderId="0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0" fillId="6" borderId="9" xfId="0" applyNumberFormat="1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10" fillId="2" borderId="0" xfId="1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10" fillId="0" borderId="0" xfId="1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11" fillId="3" borderId="10" xfId="0" applyNumberFormat="1" applyFont="1" applyFill="1" applyBorder="1" applyAlignment="1">
      <alignment horizontal="center" vertical="center"/>
    </xf>
    <xf numFmtId="165" fontId="5" fillId="3" borderId="43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0" fillId="6" borderId="9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9" fontId="27" fillId="0" borderId="37" xfId="4" applyNumberFormat="1" applyFont="1" applyBorder="1" applyAlignment="1">
      <alignment horizontal="center" vertical="center"/>
    </xf>
    <xf numFmtId="4" fontId="28" fillId="2" borderId="1" xfId="0" applyNumberFormat="1" applyFont="1" applyFill="1" applyBorder="1" applyAlignment="1"/>
    <xf numFmtId="4" fontId="28" fillId="2" borderId="2" xfId="0" applyNumberFormat="1" applyFont="1" applyFill="1" applyBorder="1" applyAlignment="1"/>
    <xf numFmtId="4" fontId="28" fillId="2" borderId="4" xfId="0" applyNumberFormat="1" applyFont="1" applyFill="1" applyBorder="1" applyAlignment="1"/>
    <xf numFmtId="0" fontId="9" fillId="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3" fontId="6" fillId="10" borderId="10" xfId="1" applyNumberFormat="1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20" fillId="2" borderId="10" xfId="7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  <xf numFmtId="0" fontId="20" fillId="2" borderId="10" xfId="7" applyNumberFormat="1" applyFont="1" applyFill="1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center" vertical="center"/>
    </xf>
    <xf numFmtId="0" fontId="26" fillId="0" borderId="10" xfId="4" applyFont="1" applyBorder="1" applyAlignment="1">
      <alignment horizontal="center" vertical="center" wrapText="1"/>
    </xf>
    <xf numFmtId="10" fontId="27" fillId="2" borderId="10" xfId="6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right"/>
    </xf>
    <xf numFmtId="0" fontId="5" fillId="0" borderId="10" xfId="4" applyFont="1" applyFill="1" applyBorder="1" applyAlignment="1">
      <alignment horizontal="justify" wrapText="1"/>
    </xf>
    <xf numFmtId="166" fontId="5" fillId="0" borderId="10" xfId="4" applyNumberFormat="1" applyFont="1" applyBorder="1" applyAlignment="1">
      <alignment vertical="top"/>
    </xf>
    <xf numFmtId="166" fontId="5" fillId="0" borderId="10" xfId="4" applyNumberFormat="1" applyFont="1" applyBorder="1" applyAlignment="1">
      <alignment horizontal="center"/>
    </xf>
    <xf numFmtId="166" fontId="5" fillId="0" borderId="10" xfId="4" applyNumberFormat="1" applyFont="1" applyBorder="1" applyAlignment="1">
      <alignment horizontal="right"/>
    </xf>
    <xf numFmtId="165" fontId="15" fillId="2" borderId="10" xfId="0" applyNumberFormat="1" applyFont="1" applyFill="1" applyBorder="1"/>
    <xf numFmtId="4" fontId="6" fillId="10" borderId="10" xfId="1" applyNumberFormat="1" applyFont="1" applyFill="1" applyBorder="1" applyAlignment="1">
      <alignment horizontal="center" vertical="center" wrapText="1"/>
    </xf>
    <xf numFmtId="164" fontId="10" fillId="13" borderId="9" xfId="0" applyNumberFormat="1" applyFont="1" applyFill="1" applyBorder="1" applyAlignment="1">
      <alignment horizontal="center" vertical="center"/>
    </xf>
    <xf numFmtId="4" fontId="5" fillId="10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4" fontId="5" fillId="10" borderId="14" xfId="0" applyNumberFormat="1" applyFont="1" applyFill="1" applyBorder="1" applyAlignment="1">
      <alignment horizontal="center" vertical="center"/>
    </xf>
    <xf numFmtId="4" fontId="5" fillId="10" borderId="14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/>
    </xf>
    <xf numFmtId="164" fontId="5" fillId="14" borderId="9" xfId="0" applyNumberFormat="1" applyFont="1" applyFill="1" applyBorder="1" applyAlignment="1">
      <alignment horizontal="center" vertical="center"/>
    </xf>
    <xf numFmtId="164" fontId="5" fillId="14" borderId="10" xfId="0" applyNumberFormat="1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4" fontId="7" fillId="14" borderId="10" xfId="0" applyNumberFormat="1" applyFont="1" applyFill="1" applyBorder="1" applyAlignment="1">
      <alignment horizontal="center" vertical="center"/>
    </xf>
    <xf numFmtId="4" fontId="5" fillId="14" borderId="1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4" xfId="0" applyNumberFormat="1" applyFont="1" applyFill="1" applyBorder="1" applyAlignment="1">
      <alignment horizontal="center" vertical="center" wrapText="1"/>
    </xf>
    <xf numFmtId="4" fontId="13" fillId="0" borderId="0" xfId="1" applyNumberFormat="1" applyFont="1" applyFill="1" applyBorder="1" applyAlignment="1">
      <alignment horizontal="center" vertical="center" wrapText="1"/>
    </xf>
    <xf numFmtId="0" fontId="20" fillId="2" borderId="10" xfId="7" applyFont="1" applyFill="1" applyBorder="1" applyAlignment="1">
      <alignment horizontal="center" vertical="center" wrapText="1"/>
    </xf>
    <xf numFmtId="0" fontId="35" fillId="2" borderId="10" xfId="7" applyFont="1" applyFill="1" applyBorder="1" applyAlignment="1">
      <alignment horizontal="center" vertical="center" wrapText="1"/>
    </xf>
    <xf numFmtId="4" fontId="22" fillId="2" borderId="10" xfId="0" applyNumberFormat="1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7" fillId="7" borderId="1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43" fontId="7" fillId="0" borderId="10" xfId="1" applyNumberFormat="1" applyFont="1" applyFill="1" applyBorder="1" applyAlignment="1">
      <alignment horizontal="center" vertical="center" wrapText="1"/>
    </xf>
    <xf numFmtId="4" fontId="7" fillId="0" borderId="10" xfId="1" applyNumberFormat="1" applyFont="1" applyFill="1" applyBorder="1" applyAlignment="1">
      <alignment horizontal="center" vertical="center"/>
    </xf>
    <xf numFmtId="4" fontId="7" fillId="0" borderId="10" xfId="1" applyNumberFormat="1" applyFont="1" applyFill="1" applyBorder="1" applyAlignment="1">
      <alignment horizontal="center" vertical="center" wrapText="1"/>
    </xf>
    <xf numFmtId="4" fontId="7" fillId="0" borderId="12" xfId="1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2" borderId="10" xfId="1" applyNumberFormat="1" applyFont="1" applyFill="1" applyBorder="1" applyAlignment="1">
      <alignment horizontal="center" vertical="center" wrapText="1"/>
    </xf>
    <xf numFmtId="164" fontId="5" fillId="6" borderId="9" xfId="0" applyNumberFormat="1" applyFont="1" applyFill="1" applyBorder="1" applyAlignment="1">
      <alignment horizontal="center" vertical="center"/>
    </xf>
    <xf numFmtId="164" fontId="7" fillId="6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3" fontId="7" fillId="3" borderId="10" xfId="1" applyNumberFormat="1" applyFont="1" applyFill="1" applyBorder="1" applyAlignment="1">
      <alignment horizontal="center" vertical="center" wrapText="1"/>
    </xf>
    <xf numFmtId="4" fontId="7" fillId="3" borderId="10" xfId="1" applyNumberFormat="1" applyFont="1" applyFill="1" applyBorder="1" applyAlignment="1">
      <alignment horizontal="center" vertical="center" wrapText="1"/>
    </xf>
    <xf numFmtId="0" fontId="20" fillId="2" borderId="10" xfId="7" applyFont="1" applyFill="1" applyBorder="1" applyAlignment="1">
      <alignment horizontal="center" vertical="center" wrapText="1"/>
    </xf>
    <xf numFmtId="0" fontId="32" fillId="3" borderId="10" xfId="4" applyFont="1" applyFill="1" applyBorder="1" applyAlignment="1">
      <alignment horizontal="center"/>
    </xf>
    <xf numFmtId="165" fontId="27" fillId="2" borderId="10" xfId="4" applyNumberFormat="1" applyFont="1" applyFill="1" applyBorder="1" applyAlignment="1">
      <alignment horizontal="center"/>
    </xf>
    <xf numFmtId="165" fontId="0" fillId="2" borderId="0" xfId="0" applyNumberFormat="1" applyFill="1"/>
    <xf numFmtId="0" fontId="7" fillId="2" borderId="37" xfId="0" applyFont="1" applyFill="1" applyBorder="1" applyAlignment="1">
      <alignment horizontal="center" vertical="center" wrapText="1"/>
    </xf>
    <xf numFmtId="4" fontId="7" fillId="2" borderId="12" xfId="1" applyNumberFormat="1" applyFont="1" applyFill="1" applyBorder="1" applyAlignment="1">
      <alignment horizontal="center" vertical="center" wrapText="1"/>
    </xf>
    <xf numFmtId="43" fontId="7" fillId="2" borderId="10" xfId="1" applyNumberFormat="1" applyFont="1" applyFill="1" applyBorder="1" applyAlignment="1">
      <alignment horizontal="center" vertical="center" wrapText="1"/>
    </xf>
    <xf numFmtId="4" fontId="7" fillId="2" borderId="10" xfId="1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20" fillId="2" borderId="10" xfId="7" applyFont="1" applyFill="1" applyBorder="1" applyAlignment="1">
      <alignment horizontal="center" vertical="center" wrapText="1"/>
    </xf>
    <xf numFmtId="0" fontId="20" fillId="2" borderId="10" xfId="7" applyFont="1" applyFill="1" applyBorder="1" applyAlignment="1">
      <alignment horizontal="center" vertical="center" wrapText="1"/>
    </xf>
    <xf numFmtId="164" fontId="7" fillId="7" borderId="9" xfId="0" applyNumberFormat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4" fontId="7" fillId="2" borderId="12" xfId="1" applyNumberFormat="1" applyFont="1" applyFill="1" applyBorder="1" applyAlignment="1">
      <alignment horizontal="center" vertical="center"/>
    </xf>
    <xf numFmtId="165" fontId="36" fillId="3" borderId="10" xfId="0" applyNumberFormat="1" applyFont="1" applyFill="1" applyBorder="1"/>
    <xf numFmtId="165" fontId="36" fillId="2" borderId="10" xfId="0" applyNumberFormat="1" applyFont="1" applyFill="1" applyBorder="1" applyAlignment="1">
      <alignment horizontal="center"/>
    </xf>
    <xf numFmtId="165" fontId="36" fillId="0" borderId="10" xfId="0" applyNumberFormat="1" applyFont="1" applyBorder="1"/>
    <xf numFmtId="2" fontId="29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 wrapText="1"/>
    </xf>
    <xf numFmtId="164" fontId="26" fillId="12" borderId="9" xfId="0" applyNumberFormat="1" applyFont="1" applyFill="1" applyBorder="1" applyAlignment="1">
      <alignment horizontal="center" vertical="center"/>
    </xf>
    <xf numFmtId="0" fontId="28" fillId="12" borderId="10" xfId="0" applyFont="1" applyFill="1" applyBorder="1" applyAlignment="1">
      <alignment horizontal="center" vertical="center"/>
    </xf>
    <xf numFmtId="2" fontId="7" fillId="12" borderId="10" xfId="0" applyNumberFormat="1" applyFont="1" applyFill="1" applyBorder="1" applyAlignment="1">
      <alignment horizontal="center" vertical="center"/>
    </xf>
    <xf numFmtId="164" fontId="27" fillId="8" borderId="9" xfId="0" applyNumberFormat="1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9" fillId="8" borderId="10" xfId="0" applyNumberFormat="1" applyFont="1" applyFill="1" applyBorder="1" applyAlignment="1">
      <alignment horizontal="center" vertical="center" wrapText="1"/>
    </xf>
    <xf numFmtId="2" fontId="7" fillId="8" borderId="10" xfId="0" applyNumberFormat="1" applyFont="1" applyFill="1" applyBorder="1" applyAlignment="1">
      <alignment horizontal="center" vertical="center"/>
    </xf>
    <xf numFmtId="2" fontId="5" fillId="8" borderId="12" xfId="0" applyNumberFormat="1" applyFont="1" applyFill="1" applyBorder="1" applyAlignment="1">
      <alignment horizontal="center" vertical="center"/>
    </xf>
    <xf numFmtId="164" fontId="27" fillId="8" borderId="13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8" fillId="8" borderId="14" xfId="0" applyFont="1" applyFill="1" applyBorder="1" applyAlignment="1">
      <alignment horizontal="center" vertical="center"/>
    </xf>
    <xf numFmtId="2" fontId="9" fillId="8" borderId="14" xfId="0" applyNumberFormat="1" applyFont="1" applyFill="1" applyBorder="1" applyAlignment="1">
      <alignment horizontal="center" vertical="center" wrapText="1"/>
    </xf>
    <xf numFmtId="2" fontId="7" fillId="8" borderId="14" xfId="0" applyNumberFormat="1" applyFont="1" applyFill="1" applyBorder="1" applyAlignment="1">
      <alignment horizontal="center" vertical="center"/>
    </xf>
    <xf numFmtId="0" fontId="0" fillId="3" borderId="10" xfId="0" applyFill="1" applyBorder="1"/>
    <xf numFmtId="0" fontId="0" fillId="3" borderId="12" xfId="0" applyFill="1" applyBorder="1"/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 wrapText="1"/>
    </xf>
    <xf numFmtId="43" fontId="13" fillId="10" borderId="10" xfId="1" applyNumberFormat="1" applyFont="1" applyFill="1" applyBorder="1" applyAlignment="1">
      <alignment horizontal="center" vertical="center" wrapText="1"/>
    </xf>
    <xf numFmtId="4" fontId="10" fillId="10" borderId="10" xfId="1" applyNumberFormat="1" applyFont="1" applyFill="1" applyBorder="1" applyAlignment="1">
      <alignment horizontal="center" vertical="center"/>
    </xf>
    <xf numFmtId="2" fontId="31" fillId="10" borderId="10" xfId="0" applyNumberFormat="1" applyFont="1" applyFill="1" applyBorder="1" applyAlignment="1">
      <alignment horizontal="center" vertical="center"/>
    </xf>
    <xf numFmtId="2" fontId="31" fillId="10" borderId="12" xfId="0" applyNumberFormat="1" applyFont="1" applyFill="1" applyBorder="1" applyAlignment="1">
      <alignment horizontal="center" vertical="center"/>
    </xf>
    <xf numFmtId="0" fontId="5" fillId="11" borderId="10" xfId="4" applyFont="1" applyFill="1" applyBorder="1" applyAlignment="1">
      <alignment horizontal="left" vertical="top" wrapText="1"/>
    </xf>
    <xf numFmtId="0" fontId="5" fillId="0" borderId="10" xfId="4" applyFont="1" applyFill="1" applyBorder="1" applyAlignment="1">
      <alignment horizontal="center" wrapText="1"/>
    </xf>
    <xf numFmtId="2" fontId="0" fillId="0" borderId="0" xfId="0" applyNumberFormat="1"/>
    <xf numFmtId="10" fontId="0" fillId="0" borderId="0" xfId="0" applyNumberFormat="1"/>
    <xf numFmtId="0" fontId="32" fillId="2" borderId="10" xfId="4" applyFont="1" applyFill="1" applyBorder="1" applyAlignment="1">
      <alignment horizontal="center"/>
    </xf>
    <xf numFmtId="2" fontId="27" fillId="2" borderId="10" xfId="4" applyNumberFormat="1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6" fontId="27" fillId="0" borderId="10" xfId="4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7" fontId="27" fillId="0" borderId="10" xfId="4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31" fillId="0" borderId="10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" fontId="8" fillId="2" borderId="10" xfId="1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0" fillId="2" borderId="10" xfId="7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168" fontId="20" fillId="2" borderId="10" xfId="7" applyNumberFormat="1" applyFont="1" applyFill="1" applyBorder="1" applyAlignment="1">
      <alignment horizontal="center" vertical="center"/>
    </xf>
    <xf numFmtId="165" fontId="36" fillId="2" borderId="10" xfId="0" applyNumberFormat="1" applyFont="1" applyFill="1" applyBorder="1"/>
    <xf numFmtId="44" fontId="0" fillId="0" borderId="0" xfId="8" applyFont="1"/>
    <xf numFmtId="0" fontId="13" fillId="3" borderId="9" xfId="0" applyFont="1" applyFill="1" applyBorder="1" applyAlignment="1">
      <alignment horizontal="center" vertical="center" wrapText="1"/>
    </xf>
    <xf numFmtId="43" fontId="13" fillId="3" borderId="10" xfId="1" applyNumberFormat="1" applyFont="1" applyFill="1" applyBorder="1" applyAlignment="1">
      <alignment horizontal="center" vertical="center" wrapText="1"/>
    </xf>
    <xf numFmtId="4" fontId="10" fillId="3" borderId="10" xfId="1" applyNumberFormat="1" applyFont="1" applyFill="1" applyBorder="1" applyAlignment="1">
      <alignment horizontal="center" vertical="center"/>
    </xf>
    <xf numFmtId="2" fontId="31" fillId="3" borderId="10" xfId="0" applyNumberFormat="1" applyFont="1" applyFill="1" applyBorder="1" applyAlignment="1">
      <alignment horizontal="center" vertical="center"/>
    </xf>
    <xf numFmtId="2" fontId="31" fillId="3" borderId="12" xfId="0" applyNumberFormat="1" applyFont="1" applyFill="1" applyBorder="1" applyAlignment="1">
      <alignment horizontal="center" vertical="center"/>
    </xf>
    <xf numFmtId="2" fontId="0" fillId="2" borderId="44" xfId="0" applyNumberForma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3" fontId="5" fillId="2" borderId="20" xfId="1" applyFont="1" applyFill="1" applyBorder="1" applyAlignment="1">
      <alignment horizontal="center" vertical="center" wrapText="1"/>
    </xf>
    <xf numFmtId="43" fontId="5" fillId="2" borderId="16" xfId="1" applyFont="1" applyFill="1" applyBorder="1" applyAlignment="1">
      <alignment horizontal="center" vertical="center" wrapText="1"/>
    </xf>
    <xf numFmtId="43" fontId="5" fillId="2" borderId="21" xfId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20" fillId="0" borderId="10" xfId="7" applyFont="1" applyFill="1" applyBorder="1" applyAlignment="1">
      <alignment horizontal="center" vertical="center" wrapText="1"/>
    </xf>
    <xf numFmtId="0" fontId="18" fillId="0" borderId="10" xfId="7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0" fontId="20" fillId="2" borderId="10" xfId="7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left" vertical="top"/>
    </xf>
    <xf numFmtId="0" fontId="16" fillId="2" borderId="36" xfId="0" applyFont="1" applyFill="1" applyBorder="1" applyAlignment="1">
      <alignment horizontal="left" vertical="top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2" fillId="2" borderId="31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left" vertical="center"/>
    </xf>
    <xf numFmtId="0" fontId="16" fillId="2" borderId="0" xfId="0" applyFont="1" applyFill="1" applyBorder="1" applyAlignment="1"/>
    <xf numFmtId="0" fontId="16" fillId="2" borderId="33" xfId="0" applyFont="1" applyFill="1" applyBorder="1" applyAlignment="1"/>
    <xf numFmtId="0" fontId="16" fillId="2" borderId="0" xfId="0" applyFont="1" applyFill="1" applyBorder="1" applyAlignment="1">
      <alignment horizontal="left"/>
    </xf>
    <xf numFmtId="0" fontId="16" fillId="2" borderId="33" xfId="0" applyFont="1" applyFill="1" applyBorder="1" applyAlignment="1">
      <alignment horizontal="left"/>
    </xf>
    <xf numFmtId="0" fontId="24" fillId="0" borderId="10" xfId="7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4" fillId="11" borderId="30" xfId="4" applyFont="1" applyFill="1" applyBorder="1" applyAlignment="1">
      <alignment horizontal="center" vertical="center"/>
    </xf>
    <xf numFmtId="0" fontId="34" fillId="11" borderId="31" xfId="4" applyFont="1" applyFill="1" applyBorder="1" applyAlignment="1">
      <alignment horizontal="center" vertical="center"/>
    </xf>
    <xf numFmtId="0" fontId="34" fillId="11" borderId="29" xfId="4" applyFont="1" applyFill="1" applyBorder="1" applyAlignment="1">
      <alignment horizontal="center" vertical="center"/>
    </xf>
    <xf numFmtId="0" fontId="34" fillId="11" borderId="32" xfId="4" applyFont="1" applyFill="1" applyBorder="1" applyAlignment="1">
      <alignment horizontal="center" vertical="center"/>
    </xf>
    <xf numFmtId="0" fontId="34" fillId="11" borderId="0" xfId="4" applyFont="1" applyFill="1" applyBorder="1" applyAlignment="1">
      <alignment horizontal="center" vertical="center"/>
    </xf>
    <xf numFmtId="0" fontId="34" fillId="11" borderId="33" xfId="4" applyFont="1" applyFill="1" applyBorder="1" applyAlignment="1">
      <alignment horizontal="center" vertical="center"/>
    </xf>
    <xf numFmtId="0" fontId="25" fillId="11" borderId="32" xfId="4" applyFont="1" applyFill="1" applyBorder="1" applyAlignment="1">
      <alignment horizontal="center" vertical="center"/>
    </xf>
    <xf numFmtId="0" fontId="25" fillId="11" borderId="0" xfId="4" applyFont="1" applyFill="1" applyBorder="1" applyAlignment="1">
      <alignment horizontal="center" vertical="center"/>
    </xf>
    <xf numFmtId="0" fontId="25" fillId="11" borderId="33" xfId="4" applyFont="1" applyFill="1" applyBorder="1" applyAlignment="1">
      <alignment horizontal="center" vertical="center"/>
    </xf>
    <xf numFmtId="0" fontId="25" fillId="11" borderId="34" xfId="4" applyFont="1" applyFill="1" applyBorder="1" applyAlignment="1">
      <alignment horizontal="center" vertical="center"/>
    </xf>
    <xf numFmtId="0" fontId="25" fillId="11" borderId="35" xfId="4" applyFont="1" applyFill="1" applyBorder="1" applyAlignment="1">
      <alignment horizontal="center" vertical="center"/>
    </xf>
    <xf numFmtId="0" fontId="25" fillId="11" borderId="36" xfId="4" applyFont="1" applyFill="1" applyBorder="1" applyAlignment="1">
      <alignment horizontal="center" vertical="center"/>
    </xf>
    <xf numFmtId="0" fontId="26" fillId="0" borderId="10" xfId="4" applyFont="1" applyBorder="1" applyAlignment="1">
      <alignment horizontal="center" wrapText="1"/>
    </xf>
    <xf numFmtId="2" fontId="27" fillId="0" borderId="14" xfId="4" applyNumberFormat="1" applyFont="1" applyBorder="1" applyAlignment="1">
      <alignment horizontal="center" vertical="center"/>
    </xf>
    <xf numFmtId="2" fontId="27" fillId="0" borderId="38" xfId="4" applyNumberFormat="1" applyFont="1" applyBorder="1" applyAlignment="1">
      <alignment horizontal="center" vertical="center"/>
    </xf>
    <xf numFmtId="2" fontId="27" fillId="0" borderId="39" xfId="4" applyNumberFormat="1" applyFont="1" applyBorder="1" applyAlignment="1">
      <alignment horizontal="center" vertical="center"/>
    </xf>
    <xf numFmtId="2" fontId="27" fillId="0" borderId="10" xfId="4" applyNumberFormat="1" applyFont="1" applyBorder="1" applyAlignment="1">
      <alignment horizontal="center" vertical="center"/>
    </xf>
    <xf numFmtId="0" fontId="0" fillId="11" borderId="11" xfId="4" applyFont="1" applyFill="1" applyBorder="1" applyAlignment="1">
      <alignment horizontal="left" wrapText="1"/>
    </xf>
    <xf numFmtId="0" fontId="0" fillId="11" borderId="27" xfId="4" applyFont="1" applyFill="1" applyBorder="1" applyAlignment="1">
      <alignment horizontal="left" wrapText="1"/>
    </xf>
    <xf numFmtId="0" fontId="0" fillId="11" borderId="37" xfId="4" applyFont="1" applyFill="1" applyBorder="1" applyAlignment="1">
      <alignment horizontal="left" wrapText="1"/>
    </xf>
    <xf numFmtId="0" fontId="26" fillId="2" borderId="10" xfId="4" applyFont="1" applyFill="1" applyBorder="1" applyAlignment="1">
      <alignment horizontal="center" vertical="center"/>
    </xf>
    <xf numFmtId="0" fontId="26" fillId="2" borderId="10" xfId="4" applyFont="1" applyFill="1" applyBorder="1" applyAlignment="1">
      <alignment horizontal="center" vertical="center" wrapText="1"/>
    </xf>
    <xf numFmtId="0" fontId="26" fillId="0" borderId="11" xfId="4" applyFont="1" applyBorder="1" applyAlignment="1">
      <alignment horizontal="center" vertical="top" wrapText="1"/>
    </xf>
    <xf numFmtId="0" fontId="26" fillId="0" borderId="27" xfId="4" applyFont="1" applyBorder="1" applyAlignment="1">
      <alignment horizontal="center" vertical="top" wrapText="1"/>
    </xf>
    <xf numFmtId="0" fontId="26" fillId="0" borderId="37" xfId="4" applyFont="1" applyBorder="1" applyAlignment="1">
      <alignment horizontal="center" vertical="top" wrapText="1"/>
    </xf>
    <xf numFmtId="0" fontId="15" fillId="2" borderId="0" xfId="0" applyFont="1" applyFill="1" applyBorder="1" applyAlignment="1">
      <alignment horizontal="left" vertical="top"/>
    </xf>
    <xf numFmtId="0" fontId="15" fillId="2" borderId="33" xfId="0" applyFont="1" applyFill="1" applyBorder="1" applyAlignment="1">
      <alignment horizontal="left" vertical="top"/>
    </xf>
    <xf numFmtId="0" fontId="14" fillId="2" borderId="31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33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/>
    </xf>
    <xf numFmtId="0" fontId="15" fillId="2" borderId="33" xfId="0" applyFont="1" applyFill="1" applyBorder="1" applyAlignment="1">
      <alignment horizontal="left"/>
    </xf>
    <xf numFmtId="164" fontId="27" fillId="8" borderId="20" xfId="0" applyNumberFormat="1" applyFont="1" applyFill="1" applyBorder="1" applyAlignment="1">
      <alignment horizontal="center" vertical="center"/>
    </xf>
    <xf numFmtId="164" fontId="27" fillId="8" borderId="16" xfId="0" applyNumberFormat="1" applyFont="1" applyFill="1" applyBorder="1" applyAlignment="1">
      <alignment horizontal="center" vertical="center"/>
    </xf>
    <xf numFmtId="164" fontId="27" fillId="8" borderId="2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 vertical="top"/>
    </xf>
    <xf numFmtId="0" fontId="15" fillId="2" borderId="8" xfId="0" applyFont="1" applyFill="1" applyBorder="1" applyAlignment="1">
      <alignment horizontal="left" vertical="top"/>
    </xf>
  </cellXfs>
  <cellStyles count="9">
    <cellStyle name="0,0_x000d__x000a_NA_x000d__x000a_" xfId="4"/>
    <cellStyle name="Moeda" xfId="8" builtinId="4"/>
    <cellStyle name="Normal" xfId="0" builtinId="0"/>
    <cellStyle name="Normal 10 2" xfId="7"/>
    <cellStyle name="Normal 11" xfId="2"/>
    <cellStyle name="Porcentagem" xfId="6" builtinId="5"/>
    <cellStyle name="Separador de milhares 10" xfId="5"/>
    <cellStyle name="Separador de milhares 11" xfId="3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33606</xdr:colOff>
      <xdr:row>1</xdr:row>
      <xdr:rowOff>11208</xdr:rowOff>
    </xdr:from>
    <xdr:to>
      <xdr:col>2</xdr:col>
      <xdr:colOff>986118</xdr:colOff>
      <xdr:row>5</xdr:row>
      <xdr:rowOff>104964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41"/>
        <a:stretch>
          <a:fillRect/>
        </a:stretch>
      </xdr:blipFill>
      <xdr:spPr bwMode="auto">
        <a:xfrm>
          <a:off x="806812" y="168090"/>
          <a:ext cx="1299894" cy="1012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81642</xdr:colOff>
      <xdr:row>0</xdr:row>
      <xdr:rowOff>68035</xdr:rowOff>
    </xdr:from>
    <xdr:to>
      <xdr:col>1</xdr:col>
      <xdr:colOff>1381536</xdr:colOff>
      <xdr:row>5</xdr:row>
      <xdr:rowOff>60138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41"/>
        <a:stretch>
          <a:fillRect/>
        </a:stretch>
      </xdr:blipFill>
      <xdr:spPr bwMode="auto">
        <a:xfrm>
          <a:off x="693963" y="68035"/>
          <a:ext cx="1299894" cy="1012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73668</xdr:colOff>
      <xdr:row>0</xdr:row>
      <xdr:rowOff>99391</xdr:rowOff>
    </xdr:from>
    <xdr:to>
      <xdr:col>1</xdr:col>
      <xdr:colOff>943743</xdr:colOff>
      <xdr:row>6</xdr:row>
      <xdr:rowOff>118116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41"/>
        <a:stretch>
          <a:fillRect/>
        </a:stretch>
      </xdr:blipFill>
      <xdr:spPr bwMode="auto">
        <a:xfrm>
          <a:off x="73668" y="99391"/>
          <a:ext cx="1489200" cy="116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411956</xdr:colOff>
      <xdr:row>7</xdr:row>
      <xdr:rowOff>95249</xdr:rowOff>
    </xdr:from>
    <xdr:to>
      <xdr:col>10</xdr:col>
      <xdr:colOff>171450</xdr:colOff>
      <xdr:row>27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194" t="31384" r="41301" b="19261"/>
        <a:stretch/>
      </xdr:blipFill>
      <xdr:spPr>
        <a:xfrm>
          <a:off x="411956" y="1323974"/>
          <a:ext cx="5855494" cy="381000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66676</xdr:rowOff>
    </xdr:from>
    <xdr:to>
      <xdr:col>2</xdr:col>
      <xdr:colOff>15721</xdr:colOff>
      <xdr:row>5</xdr:row>
      <xdr:rowOff>123825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41"/>
        <a:stretch>
          <a:fillRect/>
        </a:stretch>
      </xdr:blipFill>
      <xdr:spPr bwMode="auto">
        <a:xfrm>
          <a:off x="0" y="66676"/>
          <a:ext cx="1234921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1</xdr:row>
      <xdr:rowOff>56030</xdr:rowOff>
    </xdr:from>
    <xdr:to>
      <xdr:col>3</xdr:col>
      <xdr:colOff>22424</xdr:colOff>
      <xdr:row>6</xdr:row>
      <xdr:rowOff>116169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41"/>
        <a:stretch>
          <a:fillRect/>
        </a:stretch>
      </xdr:blipFill>
      <xdr:spPr bwMode="auto">
        <a:xfrm>
          <a:off x="616324" y="257736"/>
          <a:ext cx="1299894" cy="1012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98"/>
  <sheetViews>
    <sheetView topLeftCell="A137" zoomScale="85" zoomScaleNormal="85" workbookViewId="0">
      <selection activeCell="B144" sqref="B144:D144"/>
    </sheetView>
  </sheetViews>
  <sheetFormatPr defaultColWidth="11.5703125" defaultRowHeight="12" x14ac:dyDescent="0.25"/>
  <cols>
    <col min="1" max="1" width="11.5703125" style="12"/>
    <col min="2" max="2" width="5.140625" style="12" customWidth="1"/>
    <col min="3" max="3" width="15.140625" style="12" customWidth="1"/>
    <col min="4" max="4" width="43.7109375" style="12" customWidth="1"/>
    <col min="5" max="5" width="6" style="12" customWidth="1"/>
    <col min="6" max="6" width="8.140625" style="13" bestFit="1" customWidth="1"/>
    <col min="7" max="7" width="10" style="13" customWidth="1"/>
    <col min="8" max="8" width="17" style="14" customWidth="1"/>
    <col min="9" max="9" width="11.5703125" style="12" customWidth="1"/>
    <col min="10" max="12" width="11.5703125" style="12"/>
    <col min="13" max="13" width="11.5703125" style="12" customWidth="1"/>
    <col min="14" max="16384" width="11.5703125" style="12"/>
  </cols>
  <sheetData>
    <row r="1" spans="1:21" ht="12.75" thickBot="1" x14ac:dyDescent="0.3">
      <c r="A1" s="137"/>
      <c r="H1" s="109"/>
    </row>
    <row r="2" spans="1:21" ht="24.95" customHeight="1" x14ac:dyDescent="0.25">
      <c r="A2" s="137"/>
      <c r="B2" s="316"/>
      <c r="C2" s="317"/>
      <c r="D2" s="312" t="s">
        <v>136</v>
      </c>
      <c r="E2" s="312"/>
      <c r="F2" s="312"/>
      <c r="G2" s="312"/>
      <c r="H2" s="313"/>
      <c r="I2" s="122"/>
      <c r="J2" s="122"/>
      <c r="K2" s="122"/>
      <c r="L2" s="122"/>
      <c r="M2" s="122"/>
      <c r="N2" s="122"/>
      <c r="O2" s="122"/>
    </row>
    <row r="3" spans="1:21" ht="24.95" customHeight="1" x14ac:dyDescent="0.25">
      <c r="A3" s="137"/>
      <c r="B3" s="318"/>
      <c r="C3" s="319"/>
      <c r="D3" s="314"/>
      <c r="E3" s="314"/>
      <c r="F3" s="314"/>
      <c r="G3" s="314"/>
      <c r="H3" s="315"/>
      <c r="I3" s="122"/>
      <c r="J3" s="122"/>
      <c r="K3" s="122"/>
      <c r="L3" s="122"/>
      <c r="M3" s="122"/>
      <c r="N3" s="122"/>
      <c r="O3" s="122"/>
    </row>
    <row r="4" spans="1:21" ht="21" customHeight="1" x14ac:dyDescent="0.25">
      <c r="A4" s="137"/>
      <c r="B4" s="318"/>
      <c r="C4" s="319"/>
      <c r="D4" s="314"/>
      <c r="E4" s="314"/>
      <c r="F4" s="314"/>
      <c r="G4" s="314"/>
      <c r="H4" s="315"/>
      <c r="I4" s="122"/>
      <c r="J4" s="122"/>
      <c r="K4" s="122"/>
      <c r="L4" s="122"/>
      <c r="M4" s="122"/>
      <c r="N4" s="122"/>
      <c r="O4" s="122"/>
    </row>
    <row r="5" spans="1:21" ht="1.5" customHeight="1" x14ac:dyDescent="0.25">
      <c r="A5" s="137"/>
      <c r="B5" s="318"/>
      <c r="C5" s="319"/>
      <c r="D5" s="195"/>
      <c r="E5" s="195"/>
      <c r="F5" s="195"/>
      <c r="G5" s="195"/>
      <c r="H5" s="196"/>
      <c r="I5" s="122"/>
      <c r="J5" s="122"/>
      <c r="K5" s="122"/>
      <c r="L5" s="122"/>
      <c r="M5" s="122"/>
      <c r="N5" s="122"/>
      <c r="O5" s="122"/>
    </row>
    <row r="6" spans="1:21" ht="9.9499999999999993" customHeight="1" thickBot="1" x14ac:dyDescent="0.3">
      <c r="A6" s="137"/>
      <c r="B6" s="320"/>
      <c r="C6" s="321"/>
      <c r="D6" s="197"/>
      <c r="E6" s="197"/>
      <c r="F6" s="197"/>
      <c r="G6" s="197"/>
      <c r="H6" s="198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1" ht="15" customHeight="1" thickBot="1" x14ac:dyDescent="0.3">
      <c r="A7" s="137"/>
      <c r="B7" s="334" t="s">
        <v>1</v>
      </c>
      <c r="C7" s="335"/>
      <c r="D7" s="335"/>
      <c r="E7" s="335"/>
      <c r="F7" s="335"/>
      <c r="G7" s="335"/>
      <c r="H7" s="336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8" spans="1:21" ht="15" customHeight="1" x14ac:dyDescent="0.25">
      <c r="A8" s="137"/>
      <c r="B8" s="337" t="s">
        <v>198</v>
      </c>
      <c r="C8" s="338"/>
      <c r="D8" s="338"/>
      <c r="E8" s="338"/>
      <c r="F8" s="338"/>
      <c r="G8" s="338"/>
      <c r="H8" s="339"/>
      <c r="I8" s="122"/>
      <c r="J8" s="114"/>
      <c r="K8" s="114"/>
      <c r="L8" s="122"/>
      <c r="M8" s="122"/>
      <c r="N8" s="122"/>
      <c r="O8" s="122"/>
      <c r="P8" s="122"/>
      <c r="Q8" s="122"/>
      <c r="R8" s="122"/>
      <c r="S8" s="122"/>
      <c r="T8" s="122"/>
      <c r="U8" s="122"/>
    </row>
    <row r="9" spans="1:21" ht="12.75" x14ac:dyDescent="0.25">
      <c r="A9" s="137"/>
      <c r="B9" s="328" t="s">
        <v>200</v>
      </c>
      <c r="C9" s="329"/>
      <c r="D9" s="329"/>
      <c r="E9" s="329"/>
      <c r="F9" s="329"/>
      <c r="G9" s="329"/>
      <c r="H9" s="330"/>
      <c r="I9" s="122"/>
      <c r="J9" s="125"/>
      <c r="K9" s="125"/>
      <c r="L9" s="122"/>
      <c r="M9" s="122"/>
      <c r="N9" s="122"/>
      <c r="O9" s="122"/>
      <c r="P9" s="122"/>
      <c r="Q9" s="122"/>
      <c r="R9" s="122"/>
      <c r="S9" s="122"/>
      <c r="T9" s="122"/>
      <c r="U9" s="122"/>
    </row>
    <row r="10" spans="1:21" ht="12.75" x14ac:dyDescent="0.25">
      <c r="A10" s="137"/>
      <c r="B10" s="328" t="s">
        <v>199</v>
      </c>
      <c r="C10" s="329"/>
      <c r="D10" s="329"/>
      <c r="E10" s="329"/>
      <c r="F10" s="329"/>
      <c r="G10" s="329"/>
      <c r="H10" s="330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</row>
    <row r="11" spans="1:21" ht="12.75" x14ac:dyDescent="0.25">
      <c r="A11" s="137"/>
      <c r="B11" s="328" t="s">
        <v>201</v>
      </c>
      <c r="C11" s="329"/>
      <c r="D11" s="329"/>
      <c r="E11" s="329"/>
      <c r="F11" s="329"/>
      <c r="G11" s="329"/>
      <c r="H11" s="330"/>
      <c r="I11" s="122"/>
      <c r="J11" s="122"/>
      <c r="K11" s="122"/>
    </row>
    <row r="12" spans="1:21" ht="15" customHeight="1" x14ac:dyDescent="0.25">
      <c r="A12" s="137"/>
      <c r="B12" s="325" t="s">
        <v>2</v>
      </c>
      <c r="C12" s="326"/>
      <c r="D12" s="326"/>
      <c r="E12" s="326"/>
      <c r="F12" s="326"/>
      <c r="G12" s="326"/>
      <c r="H12" s="327"/>
      <c r="I12" s="122"/>
      <c r="J12" s="122"/>
      <c r="K12" s="122"/>
    </row>
    <row r="13" spans="1:21" ht="12.75" x14ac:dyDescent="0.25">
      <c r="A13" s="137"/>
      <c r="B13" s="126"/>
      <c r="C13" s="104"/>
      <c r="D13" s="104"/>
      <c r="E13" s="7"/>
      <c r="F13" s="27"/>
      <c r="G13" s="127"/>
      <c r="H13" s="105"/>
      <c r="I13" s="122"/>
      <c r="J13" s="122"/>
      <c r="K13" s="122"/>
    </row>
    <row r="14" spans="1:21" s="113" customFormat="1" ht="38.25" x14ac:dyDescent="0.25">
      <c r="A14" s="166"/>
      <c r="B14" s="128" t="s">
        <v>3</v>
      </c>
      <c r="C14" s="129" t="s">
        <v>115</v>
      </c>
      <c r="D14" s="129" t="s">
        <v>4</v>
      </c>
      <c r="E14" s="130" t="s">
        <v>78</v>
      </c>
      <c r="F14" s="131" t="s">
        <v>5</v>
      </c>
      <c r="G14" s="132" t="s">
        <v>6</v>
      </c>
      <c r="H14" s="133" t="s">
        <v>116</v>
      </c>
      <c r="I14" s="114"/>
      <c r="J14" s="115"/>
      <c r="K14" s="114"/>
    </row>
    <row r="15" spans="1:21" s="113" customFormat="1" ht="12.75" x14ac:dyDescent="0.25">
      <c r="A15" s="166"/>
      <c r="B15" s="199" t="s">
        <v>59</v>
      </c>
      <c r="C15" s="200"/>
      <c r="D15" s="200" t="s">
        <v>170</v>
      </c>
      <c r="E15" s="201"/>
      <c r="F15" s="202"/>
      <c r="G15" s="203"/>
      <c r="H15" s="194">
        <f>H16+H17</f>
        <v>42894.720000000001</v>
      </c>
      <c r="I15" s="134"/>
      <c r="J15" s="114">
        <f t="shared" ref="J15:J18" si="0">ROUND(I15*1.2637,2)</f>
        <v>0</v>
      </c>
      <c r="K15" s="114"/>
    </row>
    <row r="16" spans="1:21" s="113" customFormat="1" ht="25.5" x14ac:dyDescent="0.25">
      <c r="A16" s="166"/>
      <c r="B16" s="126" t="s">
        <v>60</v>
      </c>
      <c r="C16" s="24" t="s">
        <v>171</v>
      </c>
      <c r="D16" s="24" t="s">
        <v>172</v>
      </c>
      <c r="E16" s="7" t="s">
        <v>80</v>
      </c>
      <c r="F16" s="27">
        <v>66</v>
      </c>
      <c r="G16" s="204">
        <v>92.87</v>
      </c>
      <c r="H16" s="105">
        <f>ROUND(G16*F16,2)</f>
        <v>6129.42</v>
      </c>
      <c r="I16" s="134">
        <v>73.489999999999995</v>
      </c>
      <c r="J16" s="114">
        <f t="shared" si="0"/>
        <v>92.87</v>
      </c>
      <c r="K16" s="114"/>
    </row>
    <row r="17" spans="1:130" s="113" customFormat="1" ht="25.5" x14ac:dyDescent="0.25">
      <c r="A17" s="166"/>
      <c r="B17" s="126" t="s">
        <v>61</v>
      </c>
      <c r="C17" s="24" t="s">
        <v>173</v>
      </c>
      <c r="D17" s="24" t="s">
        <v>174</v>
      </c>
      <c r="E17" s="7" t="s">
        <v>80</v>
      </c>
      <c r="F17" s="27">
        <v>858</v>
      </c>
      <c r="G17" s="204">
        <v>42.85</v>
      </c>
      <c r="H17" s="105">
        <f>ROUND(G17*F17,2)</f>
        <v>36765.300000000003</v>
      </c>
      <c r="I17" s="134">
        <v>33.909999999999997</v>
      </c>
      <c r="J17" s="114">
        <f t="shared" si="0"/>
        <v>42.85</v>
      </c>
      <c r="K17" s="114"/>
    </row>
    <row r="18" spans="1:130" s="113" customFormat="1" ht="12.75" x14ac:dyDescent="0.25">
      <c r="A18" s="166"/>
      <c r="B18" s="205" t="s">
        <v>13</v>
      </c>
      <c r="C18" s="206"/>
      <c r="D18" s="207" t="s">
        <v>8</v>
      </c>
      <c r="E18" s="1" t="s">
        <v>9</v>
      </c>
      <c r="F18" s="208"/>
      <c r="G18" s="29"/>
      <c r="H18" s="209">
        <f>SUM(H19:H30)</f>
        <v>26018.37</v>
      </c>
      <c r="I18" s="134"/>
      <c r="J18" s="114">
        <f t="shared" si="0"/>
        <v>0</v>
      </c>
      <c r="K18" s="114"/>
    </row>
    <row r="19" spans="1:130" s="113" customFormat="1" ht="25.5" x14ac:dyDescent="0.25">
      <c r="A19" s="166"/>
      <c r="B19" s="138" t="s">
        <v>15</v>
      </c>
      <c r="C19" s="2" t="s">
        <v>39</v>
      </c>
      <c r="D19" s="2" t="s">
        <v>10</v>
      </c>
      <c r="E19" s="3" t="s">
        <v>123</v>
      </c>
      <c r="F19" s="31">
        <v>6</v>
      </c>
      <c r="G19" s="28">
        <v>399.63</v>
      </c>
      <c r="H19" s="110">
        <f>ROUND(G19*F19,2)</f>
        <v>2397.7800000000002</v>
      </c>
      <c r="I19" s="134">
        <v>316.24</v>
      </c>
      <c r="J19" s="114">
        <f>ROUND(I19*1.2637,2)</f>
        <v>399.63</v>
      </c>
      <c r="K19" s="116"/>
    </row>
    <row r="20" spans="1:130" s="113" customFormat="1" ht="25.5" x14ac:dyDescent="0.25">
      <c r="A20" s="166"/>
      <c r="B20" s="138" t="s">
        <v>16</v>
      </c>
      <c r="C20" s="2" t="s">
        <v>202</v>
      </c>
      <c r="D20" s="140" t="s">
        <v>203</v>
      </c>
      <c r="E20" s="3" t="s">
        <v>123</v>
      </c>
      <c r="F20" s="9">
        <v>361.86</v>
      </c>
      <c r="G20" s="28">
        <v>1.48</v>
      </c>
      <c r="H20" s="110">
        <f t="shared" ref="H20:H30" si="1">ROUND(G20*F20,2)</f>
        <v>535.54999999999995</v>
      </c>
      <c r="I20" s="134">
        <v>1.17</v>
      </c>
      <c r="J20" s="114">
        <f t="shared" ref="J20:J152" si="2">ROUND(I20*1.2637,2)</f>
        <v>1.48</v>
      </c>
      <c r="K20" s="116"/>
    </row>
    <row r="21" spans="1:130" s="113" customFormat="1" ht="39" thickBot="1" x14ac:dyDescent="0.3">
      <c r="A21" s="166"/>
      <c r="B21" s="138" t="s">
        <v>18</v>
      </c>
      <c r="C21" s="15" t="s">
        <v>140</v>
      </c>
      <c r="D21" s="140" t="s">
        <v>169</v>
      </c>
      <c r="E21" s="3" t="s">
        <v>124</v>
      </c>
      <c r="F21" s="9">
        <v>47.47</v>
      </c>
      <c r="G21" s="28">
        <v>48.26</v>
      </c>
      <c r="H21" s="110">
        <f t="shared" si="1"/>
        <v>2290.9</v>
      </c>
      <c r="I21" s="134">
        <v>38.19</v>
      </c>
      <c r="J21" s="114">
        <f t="shared" si="2"/>
        <v>48.26</v>
      </c>
      <c r="K21" s="116"/>
    </row>
    <row r="22" spans="1:130" s="136" customFormat="1" ht="26.25" thickBot="1" x14ac:dyDescent="0.3">
      <c r="A22" s="122"/>
      <c r="B22" s="138" t="s">
        <v>19</v>
      </c>
      <c r="C22" s="16" t="s">
        <v>40</v>
      </c>
      <c r="D22" s="140" t="s">
        <v>38</v>
      </c>
      <c r="E22" s="3" t="s">
        <v>123</v>
      </c>
      <c r="F22" s="9">
        <v>822.72</v>
      </c>
      <c r="G22" s="28">
        <v>2.79</v>
      </c>
      <c r="H22" s="110">
        <f t="shared" si="1"/>
        <v>2295.39</v>
      </c>
      <c r="I22" s="135">
        <v>2.21</v>
      </c>
      <c r="J22" s="114">
        <f t="shared" si="2"/>
        <v>2.79</v>
      </c>
      <c r="K22" s="122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</row>
    <row r="23" spans="1:130" s="137" customFormat="1" ht="41.25" customHeight="1" x14ac:dyDescent="0.25">
      <c r="B23" s="138" t="s">
        <v>20</v>
      </c>
      <c r="C23" s="5" t="s">
        <v>62</v>
      </c>
      <c r="D23" s="5" t="s">
        <v>11</v>
      </c>
      <c r="E23" s="3" t="s">
        <v>124</v>
      </c>
      <c r="F23" s="32">
        <v>83.57</v>
      </c>
      <c r="G23" s="28">
        <v>26.08</v>
      </c>
      <c r="H23" s="110">
        <f t="shared" si="1"/>
        <v>2179.5100000000002</v>
      </c>
      <c r="I23" s="139">
        <v>20.64</v>
      </c>
      <c r="J23" s="114">
        <f t="shared" si="2"/>
        <v>26.08</v>
      </c>
      <c r="K23" s="119"/>
    </row>
    <row r="24" spans="1:130" s="137" customFormat="1" ht="38.25" x14ac:dyDescent="0.25">
      <c r="B24" s="138" t="s">
        <v>141</v>
      </c>
      <c r="C24" s="2" t="s">
        <v>63</v>
      </c>
      <c r="D24" s="2" t="s">
        <v>12</v>
      </c>
      <c r="E24" s="3" t="s">
        <v>124</v>
      </c>
      <c r="F24" s="32">
        <v>83.57</v>
      </c>
      <c r="G24" s="28">
        <v>7.94</v>
      </c>
      <c r="H24" s="110">
        <f t="shared" si="1"/>
        <v>663.55</v>
      </c>
      <c r="I24" s="139">
        <v>6.28</v>
      </c>
      <c r="J24" s="114">
        <f t="shared" si="2"/>
        <v>7.94</v>
      </c>
      <c r="K24" s="119"/>
    </row>
    <row r="25" spans="1:130" s="137" customFormat="1" ht="51" x14ac:dyDescent="0.25">
      <c r="B25" s="138" t="s">
        <v>175</v>
      </c>
      <c r="C25" s="24" t="s">
        <v>204</v>
      </c>
      <c r="D25" s="2" t="s">
        <v>205</v>
      </c>
      <c r="E25" s="3" t="s">
        <v>124</v>
      </c>
      <c r="F25" s="32">
        <v>36.76</v>
      </c>
      <c r="G25" s="28">
        <v>39.57</v>
      </c>
      <c r="H25" s="110">
        <f t="shared" si="1"/>
        <v>1454.59</v>
      </c>
      <c r="I25" s="139">
        <v>31.31</v>
      </c>
      <c r="J25" s="114">
        <f t="shared" si="2"/>
        <v>39.57</v>
      </c>
      <c r="K25" s="119"/>
    </row>
    <row r="26" spans="1:130" s="137" customFormat="1" ht="38.25" x14ac:dyDescent="0.25">
      <c r="B26" s="138" t="s">
        <v>176</v>
      </c>
      <c r="C26" s="24" t="s">
        <v>206</v>
      </c>
      <c r="D26" s="141" t="s">
        <v>207</v>
      </c>
      <c r="E26" s="3" t="s">
        <v>123</v>
      </c>
      <c r="F26" s="32">
        <v>178.73</v>
      </c>
      <c r="G26" s="28">
        <v>26.08</v>
      </c>
      <c r="H26" s="110">
        <f t="shared" si="1"/>
        <v>4661.28</v>
      </c>
      <c r="I26" s="139">
        <v>20.64</v>
      </c>
      <c r="J26" s="114">
        <f t="shared" si="2"/>
        <v>26.08</v>
      </c>
      <c r="K26" s="119"/>
    </row>
    <row r="27" spans="1:130" s="137" customFormat="1" ht="38.25" x14ac:dyDescent="0.25">
      <c r="B27" s="138" t="s">
        <v>241</v>
      </c>
      <c r="C27" s="24" t="s">
        <v>242</v>
      </c>
      <c r="D27" s="24" t="s">
        <v>243</v>
      </c>
      <c r="E27" s="3" t="s">
        <v>78</v>
      </c>
      <c r="F27" s="32">
        <v>2</v>
      </c>
      <c r="G27" s="28">
        <v>130.30000000000001</v>
      </c>
      <c r="H27" s="110">
        <f t="shared" si="1"/>
        <v>260.60000000000002</v>
      </c>
      <c r="I27" s="139">
        <v>103.11</v>
      </c>
      <c r="J27" s="114">
        <f>ROUND(I27*1.2637,2)</f>
        <v>130.30000000000001</v>
      </c>
      <c r="K27" s="119"/>
    </row>
    <row r="28" spans="1:130" s="137" customFormat="1" ht="51" x14ac:dyDescent="0.25">
      <c r="B28" s="138" t="s">
        <v>319</v>
      </c>
      <c r="C28" s="2" t="s">
        <v>424</v>
      </c>
      <c r="D28" s="24" t="s">
        <v>425</v>
      </c>
      <c r="E28" s="3" t="s">
        <v>125</v>
      </c>
      <c r="F28" s="32">
        <v>150</v>
      </c>
      <c r="G28" s="28">
        <v>0.4</v>
      </c>
      <c r="H28" s="110">
        <f t="shared" si="1"/>
        <v>60</v>
      </c>
      <c r="I28" s="139">
        <v>0.32</v>
      </c>
      <c r="J28" s="116">
        <f>ROUND(I28*1.2637,2)</f>
        <v>0.4</v>
      </c>
      <c r="K28" s="119"/>
    </row>
    <row r="29" spans="1:130" s="137" customFormat="1" ht="38.25" x14ac:dyDescent="0.25">
      <c r="B29" s="138" t="s">
        <v>420</v>
      </c>
      <c r="C29" s="24" t="s">
        <v>317</v>
      </c>
      <c r="D29" s="24" t="s">
        <v>318</v>
      </c>
      <c r="E29" s="3" t="s">
        <v>123</v>
      </c>
      <c r="F29" s="32">
        <v>138.76</v>
      </c>
      <c r="G29" s="28">
        <v>63.72</v>
      </c>
      <c r="H29" s="110">
        <f t="shared" si="1"/>
        <v>8841.7900000000009</v>
      </c>
      <c r="I29" s="139">
        <v>50.42</v>
      </c>
      <c r="J29" s="114">
        <f>ROUND(I29*1.2637,2)</f>
        <v>63.72</v>
      </c>
      <c r="K29" s="119"/>
    </row>
    <row r="30" spans="1:130" s="137" customFormat="1" ht="38.25" x14ac:dyDescent="0.25">
      <c r="B30" s="138" t="s">
        <v>423</v>
      </c>
      <c r="C30" s="2" t="s">
        <v>421</v>
      </c>
      <c r="D30" s="24" t="s">
        <v>422</v>
      </c>
      <c r="E30" s="3" t="s">
        <v>123</v>
      </c>
      <c r="F30" s="32">
        <v>138.76</v>
      </c>
      <c r="G30" s="28">
        <v>2.72</v>
      </c>
      <c r="H30" s="110">
        <f t="shared" si="1"/>
        <v>377.43</v>
      </c>
      <c r="I30" s="139">
        <v>2.15</v>
      </c>
      <c r="J30" s="114">
        <f>ROUND(I30*1.2637,2)</f>
        <v>2.72</v>
      </c>
      <c r="K30" s="119"/>
    </row>
    <row r="31" spans="1:130" s="137" customFormat="1" ht="12.75" x14ac:dyDescent="0.25">
      <c r="B31" s="193" t="s">
        <v>23</v>
      </c>
      <c r="C31" s="97"/>
      <c r="D31" s="98" t="s">
        <v>288</v>
      </c>
      <c r="E31" s="174" t="s">
        <v>9</v>
      </c>
      <c r="F31" s="108"/>
      <c r="G31" s="192"/>
      <c r="H31" s="194">
        <f>SUM(H32:H40)</f>
        <v>42611.209999999992</v>
      </c>
      <c r="I31" s="139"/>
      <c r="J31" s="114">
        <f t="shared" si="2"/>
        <v>0</v>
      </c>
      <c r="K31" s="119"/>
    </row>
    <row r="32" spans="1:130" s="137" customFormat="1" ht="89.25" x14ac:dyDescent="0.25">
      <c r="A32" s="210"/>
      <c r="B32" s="211" t="s">
        <v>25</v>
      </c>
      <c r="C32" s="11" t="s">
        <v>208</v>
      </c>
      <c r="D32" s="25" t="s">
        <v>209</v>
      </c>
      <c r="E32" s="20" t="s">
        <v>123</v>
      </c>
      <c r="F32" s="10">
        <v>269.86</v>
      </c>
      <c r="G32" s="30">
        <v>73.19</v>
      </c>
      <c r="H32" s="112">
        <f>ROUND(G32*F32,2)</f>
        <v>19751.05</v>
      </c>
      <c r="I32" s="139">
        <v>57.92</v>
      </c>
      <c r="J32" s="114">
        <f t="shared" si="2"/>
        <v>73.19</v>
      </c>
      <c r="K32" s="119"/>
    </row>
    <row r="33" spans="1:130" s="137" customFormat="1" ht="51" x14ac:dyDescent="0.25">
      <c r="A33" s="210"/>
      <c r="B33" s="211" t="s">
        <v>26</v>
      </c>
      <c r="C33" s="212" t="s">
        <v>239</v>
      </c>
      <c r="D33" s="25" t="s">
        <v>240</v>
      </c>
      <c r="E33" s="20" t="s">
        <v>124</v>
      </c>
      <c r="F33" s="10">
        <v>7.38</v>
      </c>
      <c r="G33" s="30">
        <v>2066.0100000000002</v>
      </c>
      <c r="H33" s="112">
        <f>ROUND(G33*F33,2)</f>
        <v>15247.15</v>
      </c>
      <c r="I33" s="139">
        <v>1634.89</v>
      </c>
      <c r="J33" s="114">
        <f t="shared" si="2"/>
        <v>2066.0100000000002</v>
      </c>
      <c r="K33" s="119"/>
    </row>
    <row r="34" spans="1:130" s="137" customFormat="1" ht="25.5" x14ac:dyDescent="0.25">
      <c r="A34" s="210"/>
      <c r="B34" s="211" t="s">
        <v>117</v>
      </c>
      <c r="C34" s="221" t="s">
        <v>285</v>
      </c>
      <c r="D34" s="25" t="s">
        <v>293</v>
      </c>
      <c r="E34" s="20" t="s">
        <v>124</v>
      </c>
      <c r="F34" s="10">
        <v>3.43</v>
      </c>
      <c r="G34" s="30">
        <v>53.87</v>
      </c>
      <c r="H34" s="112">
        <f t="shared" ref="H34:H38" si="3">ROUND(G34*F34,2)</f>
        <v>184.77</v>
      </c>
      <c r="I34" s="139">
        <v>42.63</v>
      </c>
      <c r="J34" s="114">
        <f t="shared" si="2"/>
        <v>53.87</v>
      </c>
      <c r="K34" s="119"/>
    </row>
    <row r="35" spans="1:130" s="137" customFormat="1" ht="38.25" x14ac:dyDescent="0.25">
      <c r="A35" s="210"/>
      <c r="B35" s="211" t="s">
        <v>289</v>
      </c>
      <c r="C35" s="221" t="s">
        <v>474</v>
      </c>
      <c r="D35" s="25" t="s">
        <v>475</v>
      </c>
      <c r="E35" s="20" t="s">
        <v>124</v>
      </c>
      <c r="F35" s="10">
        <v>2</v>
      </c>
      <c r="G35" s="30">
        <v>83.83</v>
      </c>
      <c r="H35" s="112">
        <f t="shared" si="3"/>
        <v>167.66</v>
      </c>
      <c r="I35" s="139">
        <v>66.34</v>
      </c>
      <c r="J35" s="114">
        <f t="shared" si="2"/>
        <v>83.83</v>
      </c>
      <c r="K35" s="119"/>
    </row>
    <row r="36" spans="1:130" s="137" customFormat="1" ht="38.25" x14ac:dyDescent="0.25">
      <c r="A36" s="210"/>
      <c r="B36" s="211" t="s">
        <v>290</v>
      </c>
      <c r="C36" s="221" t="s">
        <v>286</v>
      </c>
      <c r="D36" s="25" t="s">
        <v>294</v>
      </c>
      <c r="E36" s="20" t="s">
        <v>123</v>
      </c>
      <c r="F36" s="10">
        <v>17.07</v>
      </c>
      <c r="G36" s="30">
        <v>97.37</v>
      </c>
      <c r="H36" s="112">
        <f t="shared" si="3"/>
        <v>1662.11</v>
      </c>
      <c r="I36" s="139">
        <v>77.05</v>
      </c>
      <c r="J36" s="114">
        <f t="shared" si="2"/>
        <v>97.37</v>
      </c>
      <c r="K36" s="119"/>
    </row>
    <row r="37" spans="1:130" s="137" customFormat="1" ht="51" x14ac:dyDescent="0.25">
      <c r="A37" s="210"/>
      <c r="B37" s="211" t="s">
        <v>291</v>
      </c>
      <c r="C37" s="221" t="s">
        <v>287</v>
      </c>
      <c r="D37" s="25" t="s">
        <v>295</v>
      </c>
      <c r="E37" s="20" t="s">
        <v>124</v>
      </c>
      <c r="F37" s="10">
        <v>3.43</v>
      </c>
      <c r="G37" s="30">
        <v>449.98</v>
      </c>
      <c r="H37" s="112">
        <f t="shared" si="3"/>
        <v>1543.43</v>
      </c>
      <c r="I37" s="139">
        <v>356.08</v>
      </c>
      <c r="J37" s="114">
        <f t="shared" si="2"/>
        <v>449.98</v>
      </c>
      <c r="K37" s="119"/>
    </row>
    <row r="38" spans="1:130" s="137" customFormat="1" ht="51" x14ac:dyDescent="0.25">
      <c r="A38" s="210"/>
      <c r="B38" s="211" t="s">
        <v>292</v>
      </c>
      <c r="C38" s="221" t="s">
        <v>297</v>
      </c>
      <c r="D38" s="25" t="s">
        <v>298</v>
      </c>
      <c r="E38" s="20" t="s">
        <v>124</v>
      </c>
      <c r="F38" s="10">
        <v>160</v>
      </c>
      <c r="G38" s="30">
        <v>7.62</v>
      </c>
      <c r="H38" s="112">
        <f t="shared" si="3"/>
        <v>1219.2</v>
      </c>
      <c r="I38" s="139">
        <v>6.03</v>
      </c>
      <c r="J38" s="114">
        <f t="shared" si="2"/>
        <v>7.62</v>
      </c>
      <c r="K38" s="119"/>
    </row>
    <row r="39" spans="1:130" s="137" customFormat="1" ht="38.25" x14ac:dyDescent="0.25">
      <c r="A39" s="210"/>
      <c r="B39" s="211" t="s">
        <v>296</v>
      </c>
      <c r="C39" s="17" t="s">
        <v>153</v>
      </c>
      <c r="D39" s="149" t="s">
        <v>154</v>
      </c>
      <c r="E39" s="3" t="s">
        <v>123</v>
      </c>
      <c r="F39" s="9">
        <v>17.07</v>
      </c>
      <c r="G39" s="28">
        <v>25.24</v>
      </c>
      <c r="H39" s="112">
        <f t="shared" ref="H39" si="4">ROUND(G39*F39,2)</f>
        <v>430.85</v>
      </c>
      <c r="I39" s="139">
        <v>19.97</v>
      </c>
      <c r="J39" s="114">
        <f t="shared" ref="J39" si="5">ROUND(I39*1.2637,2)</f>
        <v>25.24</v>
      </c>
      <c r="K39" s="119"/>
    </row>
    <row r="40" spans="1:130" s="137" customFormat="1" ht="38.25" x14ac:dyDescent="0.25">
      <c r="B40" s="211" t="s">
        <v>473</v>
      </c>
      <c r="C40" s="11" t="s">
        <v>262</v>
      </c>
      <c r="D40" s="25" t="s">
        <v>261</v>
      </c>
      <c r="E40" s="20" t="s">
        <v>123</v>
      </c>
      <c r="F40" s="9">
        <v>18.3</v>
      </c>
      <c r="G40" s="30">
        <v>131.41999999999999</v>
      </c>
      <c r="H40" s="112">
        <f>ROUND(G40*F40,2)</f>
        <v>2404.9899999999998</v>
      </c>
      <c r="I40" s="139">
        <v>104</v>
      </c>
      <c r="J40" s="114">
        <f t="shared" si="2"/>
        <v>131.41999999999999</v>
      </c>
      <c r="K40" s="119"/>
    </row>
    <row r="41" spans="1:130" s="137" customFormat="1" ht="12.75" x14ac:dyDescent="0.25">
      <c r="B41" s="193" t="s">
        <v>27</v>
      </c>
      <c r="C41" s="172"/>
      <c r="D41" s="173" t="s">
        <v>14</v>
      </c>
      <c r="E41" s="174" t="s">
        <v>9</v>
      </c>
      <c r="F41" s="108"/>
      <c r="G41" s="192"/>
      <c r="H41" s="194">
        <f>SUM(H42:H47)</f>
        <v>51116</v>
      </c>
      <c r="I41" s="139"/>
      <c r="J41" s="114">
        <f t="shared" si="2"/>
        <v>0</v>
      </c>
      <c r="K41" s="119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</row>
    <row r="42" spans="1:130" s="137" customFormat="1" ht="38.25" x14ac:dyDescent="0.25">
      <c r="B42" s="211" t="s">
        <v>28</v>
      </c>
      <c r="C42" s="2" t="s">
        <v>64</v>
      </c>
      <c r="D42" s="2" t="s">
        <v>17</v>
      </c>
      <c r="E42" s="3" t="s">
        <v>123</v>
      </c>
      <c r="F42" s="32">
        <v>279.3</v>
      </c>
      <c r="G42" s="28">
        <v>13.79</v>
      </c>
      <c r="H42" s="110">
        <f t="shared" ref="H42:H47" si="6">ROUND(G42*F42,2)</f>
        <v>3851.55</v>
      </c>
      <c r="I42" s="139">
        <v>10.91</v>
      </c>
      <c r="J42" s="114">
        <f t="shared" si="2"/>
        <v>13.79</v>
      </c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</row>
    <row r="43" spans="1:130" s="137" customFormat="1" ht="38.25" x14ac:dyDescent="0.25">
      <c r="B43" s="211" t="s">
        <v>122</v>
      </c>
      <c r="C43" s="2" t="s">
        <v>431</v>
      </c>
      <c r="D43" s="2" t="s">
        <v>432</v>
      </c>
      <c r="E43" s="3" t="s">
        <v>123</v>
      </c>
      <c r="F43" s="32">
        <v>282.41000000000003</v>
      </c>
      <c r="G43" s="28">
        <v>12.17</v>
      </c>
      <c r="H43" s="110">
        <f t="shared" si="6"/>
        <v>3436.93</v>
      </c>
      <c r="I43" s="139">
        <v>9.6300000000000008</v>
      </c>
      <c r="J43" s="114">
        <f t="shared" si="2"/>
        <v>12.17</v>
      </c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</row>
    <row r="44" spans="1:130" s="137" customFormat="1" ht="25.5" x14ac:dyDescent="0.25">
      <c r="B44" s="211" t="s">
        <v>145</v>
      </c>
      <c r="C44" s="2" t="s">
        <v>142</v>
      </c>
      <c r="D44" s="24" t="s">
        <v>143</v>
      </c>
      <c r="E44" s="3" t="s">
        <v>123</v>
      </c>
      <c r="F44" s="32">
        <v>464.38</v>
      </c>
      <c r="G44" s="33">
        <v>52.06</v>
      </c>
      <c r="H44" s="110">
        <f t="shared" si="6"/>
        <v>24175.62</v>
      </c>
      <c r="I44" s="139">
        <v>41.2</v>
      </c>
      <c r="J44" s="114">
        <f t="shared" si="2"/>
        <v>52.06</v>
      </c>
      <c r="K44" s="122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</row>
    <row r="45" spans="1:130" s="137" customFormat="1" ht="25.5" x14ac:dyDescent="0.25">
      <c r="B45" s="211" t="s">
        <v>146</v>
      </c>
      <c r="C45" s="2" t="s">
        <v>65</v>
      </c>
      <c r="D45" s="2" t="s">
        <v>21</v>
      </c>
      <c r="E45" s="3" t="s">
        <v>123</v>
      </c>
      <c r="F45" s="32">
        <v>68.64</v>
      </c>
      <c r="G45" s="33">
        <v>17.920000000000002</v>
      </c>
      <c r="H45" s="110">
        <f t="shared" si="6"/>
        <v>1230.03</v>
      </c>
      <c r="I45" s="139">
        <v>14.18</v>
      </c>
      <c r="J45" s="114">
        <f t="shared" si="2"/>
        <v>17.920000000000002</v>
      </c>
      <c r="K45" s="119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</row>
    <row r="46" spans="1:130" s="137" customFormat="1" ht="25.5" x14ac:dyDescent="0.25">
      <c r="B46" s="211" t="s">
        <v>147</v>
      </c>
      <c r="C46" s="2" t="s">
        <v>66</v>
      </c>
      <c r="D46" s="2" t="s">
        <v>22</v>
      </c>
      <c r="E46" s="3" t="s">
        <v>123</v>
      </c>
      <c r="F46" s="32">
        <v>55.8</v>
      </c>
      <c r="G46" s="33">
        <v>28.8</v>
      </c>
      <c r="H46" s="110">
        <f t="shared" si="6"/>
        <v>1607.04</v>
      </c>
      <c r="I46" s="139">
        <v>22.79</v>
      </c>
      <c r="J46" s="114">
        <f t="shared" si="2"/>
        <v>28.8</v>
      </c>
      <c r="K46" s="119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</row>
    <row r="47" spans="1:130" s="117" customFormat="1" ht="38.25" x14ac:dyDescent="0.25">
      <c r="A47" s="4"/>
      <c r="B47" s="211" t="s">
        <v>148</v>
      </c>
      <c r="C47" s="21" t="s">
        <v>74</v>
      </c>
      <c r="D47" s="24" t="s">
        <v>73</v>
      </c>
      <c r="E47" s="3" t="s">
        <v>123</v>
      </c>
      <c r="F47" s="32">
        <v>743.69</v>
      </c>
      <c r="G47" s="33">
        <v>22.61</v>
      </c>
      <c r="H47" s="110">
        <f t="shared" si="6"/>
        <v>16814.830000000002</v>
      </c>
      <c r="I47" s="144">
        <v>17.89</v>
      </c>
      <c r="J47" s="114">
        <f t="shared" si="2"/>
        <v>22.61</v>
      </c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</row>
    <row r="48" spans="1:130" s="137" customFormat="1" ht="12.75" x14ac:dyDescent="0.25">
      <c r="B48" s="193" t="s">
        <v>29</v>
      </c>
      <c r="C48" s="97"/>
      <c r="D48" s="98" t="s">
        <v>24</v>
      </c>
      <c r="E48" s="174" t="s">
        <v>9</v>
      </c>
      <c r="F48" s="108"/>
      <c r="G48" s="192"/>
      <c r="H48" s="194">
        <f>SUM(H49:H56)</f>
        <v>37194.89</v>
      </c>
      <c r="I48" s="139"/>
      <c r="J48" s="114">
        <f t="shared" si="2"/>
        <v>0</v>
      </c>
      <c r="K48" s="119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</row>
    <row r="49" spans="1:130" s="137" customFormat="1" ht="89.25" x14ac:dyDescent="0.25">
      <c r="B49" s="138" t="s">
        <v>31</v>
      </c>
      <c r="C49" s="23" t="s">
        <v>260</v>
      </c>
      <c r="D49" s="2" t="s">
        <v>259</v>
      </c>
      <c r="E49" s="171" t="s">
        <v>78</v>
      </c>
      <c r="F49" s="9">
        <v>14</v>
      </c>
      <c r="G49" s="103">
        <v>816.75</v>
      </c>
      <c r="H49" s="110">
        <f>ROUND(G49*F49,2)</f>
        <v>11434.5</v>
      </c>
      <c r="I49" s="139">
        <v>646.32000000000005</v>
      </c>
      <c r="J49" s="114">
        <f t="shared" si="2"/>
        <v>816.75</v>
      </c>
      <c r="K49" s="119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</row>
    <row r="50" spans="1:130" s="137" customFormat="1" ht="51" x14ac:dyDescent="0.25">
      <c r="B50" s="138" t="s">
        <v>120</v>
      </c>
      <c r="C50" s="23" t="s">
        <v>269</v>
      </c>
      <c r="D50" s="23" t="s">
        <v>315</v>
      </c>
      <c r="E50" s="3" t="s">
        <v>123</v>
      </c>
      <c r="F50" s="9">
        <v>1.96</v>
      </c>
      <c r="G50" s="28">
        <v>448.34</v>
      </c>
      <c r="H50" s="110">
        <f t="shared" ref="H50:H55" si="7">ROUND(G50*F50,2)</f>
        <v>878.75</v>
      </c>
      <c r="I50" s="139">
        <v>354.78</v>
      </c>
      <c r="J50" s="114">
        <f t="shared" si="2"/>
        <v>448.34</v>
      </c>
      <c r="K50" s="119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</row>
    <row r="51" spans="1:130" s="137" customFormat="1" ht="51" x14ac:dyDescent="0.25">
      <c r="B51" s="138" t="s">
        <v>167</v>
      </c>
      <c r="C51" s="23" t="s">
        <v>249</v>
      </c>
      <c r="D51" s="23" t="s">
        <v>248</v>
      </c>
      <c r="E51" s="3" t="s">
        <v>123</v>
      </c>
      <c r="F51" s="9">
        <v>10.8</v>
      </c>
      <c r="G51" s="28">
        <v>555.32000000000005</v>
      </c>
      <c r="H51" s="110">
        <f t="shared" si="7"/>
        <v>5997.46</v>
      </c>
      <c r="I51" s="213">
        <v>439.44</v>
      </c>
      <c r="J51" s="114">
        <f t="shared" si="2"/>
        <v>555.32000000000005</v>
      </c>
      <c r="K51" s="119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</row>
    <row r="52" spans="1:130" s="137" customFormat="1" ht="51" x14ac:dyDescent="0.25">
      <c r="B52" s="138" t="s">
        <v>236</v>
      </c>
      <c r="C52" s="23" t="s">
        <v>251</v>
      </c>
      <c r="D52" s="23" t="s">
        <v>250</v>
      </c>
      <c r="E52" s="3" t="s">
        <v>123</v>
      </c>
      <c r="F52" s="9">
        <v>15.66</v>
      </c>
      <c r="G52" s="28">
        <v>486.69</v>
      </c>
      <c r="H52" s="110">
        <f t="shared" si="7"/>
        <v>7621.57</v>
      </c>
      <c r="I52" s="213">
        <v>385.13</v>
      </c>
      <c r="J52" s="114">
        <f t="shared" si="2"/>
        <v>486.69</v>
      </c>
      <c r="K52" s="119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</row>
    <row r="53" spans="1:130" s="137" customFormat="1" ht="38.25" x14ac:dyDescent="0.25">
      <c r="B53" s="138" t="s">
        <v>253</v>
      </c>
      <c r="C53" s="23" t="s">
        <v>254</v>
      </c>
      <c r="D53" s="23" t="s">
        <v>252</v>
      </c>
      <c r="E53" s="3" t="s">
        <v>78</v>
      </c>
      <c r="F53" s="9">
        <v>1</v>
      </c>
      <c r="G53" s="28">
        <v>2573.15</v>
      </c>
      <c r="H53" s="110">
        <f t="shared" si="7"/>
        <v>2573.15</v>
      </c>
      <c r="I53" s="139">
        <v>2036.2</v>
      </c>
      <c r="J53" s="114">
        <f t="shared" si="2"/>
        <v>2573.15</v>
      </c>
      <c r="K53" s="119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</row>
    <row r="54" spans="1:130" s="137" customFormat="1" ht="76.5" x14ac:dyDescent="0.25">
      <c r="B54" s="138" t="s">
        <v>255</v>
      </c>
      <c r="C54" s="212" t="s">
        <v>257</v>
      </c>
      <c r="D54" s="23" t="s">
        <v>256</v>
      </c>
      <c r="E54" s="3" t="s">
        <v>123</v>
      </c>
      <c r="F54" s="9">
        <v>20.75</v>
      </c>
      <c r="G54" s="28">
        <v>299.04000000000002</v>
      </c>
      <c r="H54" s="110">
        <f t="shared" si="7"/>
        <v>6205.08</v>
      </c>
      <c r="I54" s="139">
        <v>236.64</v>
      </c>
      <c r="J54" s="114">
        <f t="shared" si="2"/>
        <v>299.04000000000002</v>
      </c>
      <c r="K54" s="119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</row>
    <row r="55" spans="1:130" s="137" customFormat="1" ht="38.25" x14ac:dyDescent="0.25">
      <c r="B55" s="138" t="s">
        <v>258</v>
      </c>
      <c r="C55" s="220" t="s">
        <v>280</v>
      </c>
      <c r="D55" s="25" t="s">
        <v>281</v>
      </c>
      <c r="E55" s="7" t="s">
        <v>123</v>
      </c>
      <c r="F55" s="33">
        <v>1</v>
      </c>
      <c r="G55" s="28">
        <v>346.24</v>
      </c>
      <c r="H55" s="110">
        <f t="shared" si="7"/>
        <v>346.24</v>
      </c>
      <c r="I55" s="139">
        <v>273.99</v>
      </c>
      <c r="J55" s="114">
        <f t="shared" si="2"/>
        <v>346.24</v>
      </c>
      <c r="K55" s="119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</row>
    <row r="56" spans="1:130" s="137" customFormat="1" ht="51.75" thickBot="1" x14ac:dyDescent="0.3">
      <c r="B56" s="138" t="s">
        <v>282</v>
      </c>
      <c r="C56" s="217" t="s">
        <v>188</v>
      </c>
      <c r="D56" s="218" t="s">
        <v>189</v>
      </c>
      <c r="E56" s="219" t="s">
        <v>123</v>
      </c>
      <c r="F56" s="9">
        <v>7.15</v>
      </c>
      <c r="G56" s="28">
        <v>299.04000000000002</v>
      </c>
      <c r="H56" s="110">
        <f>ROUND(G56*F56,2)</f>
        <v>2138.14</v>
      </c>
      <c r="I56" s="139"/>
      <c r="J56" s="114">
        <f t="shared" si="2"/>
        <v>0</v>
      </c>
      <c r="K56" s="119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</row>
    <row r="57" spans="1:130" s="137" customFormat="1" ht="13.5" thickBot="1" x14ac:dyDescent="0.3">
      <c r="B57" s="163" t="s">
        <v>32</v>
      </c>
      <c r="C57" s="8"/>
      <c r="D57" s="107" t="s">
        <v>210</v>
      </c>
      <c r="E57" s="1" t="s">
        <v>9</v>
      </c>
      <c r="F57" s="6"/>
      <c r="G57" s="29"/>
      <c r="H57" s="111">
        <f>SUM(H58:H68)</f>
        <v>138734.09</v>
      </c>
      <c r="I57" s="139"/>
      <c r="J57" s="114">
        <f t="shared" si="2"/>
        <v>0</v>
      </c>
      <c r="K57" s="119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</row>
    <row r="58" spans="1:130" s="137" customFormat="1" ht="51.75" thickBot="1" x14ac:dyDescent="0.3">
      <c r="B58" s="95" t="s">
        <v>34</v>
      </c>
      <c r="C58" s="22" t="s">
        <v>42</v>
      </c>
      <c r="D58" s="25" t="s">
        <v>43</v>
      </c>
      <c r="E58" s="20" t="s">
        <v>123</v>
      </c>
      <c r="F58" s="9">
        <v>1301.43</v>
      </c>
      <c r="G58" s="30">
        <v>3.85</v>
      </c>
      <c r="H58" s="112">
        <f>ROUND(G58*F58,2)</f>
        <v>5010.51</v>
      </c>
      <c r="I58" s="139">
        <v>3.05</v>
      </c>
      <c r="J58" s="114">
        <f t="shared" si="2"/>
        <v>3.85</v>
      </c>
      <c r="K58" s="119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</row>
    <row r="59" spans="1:130" s="137" customFormat="1" ht="77.25" thickBot="1" x14ac:dyDescent="0.3">
      <c r="B59" s="95" t="s">
        <v>35</v>
      </c>
      <c r="C59" s="22" t="s">
        <v>44</v>
      </c>
      <c r="D59" s="25" t="s">
        <v>45</v>
      </c>
      <c r="E59" s="20" t="s">
        <v>123</v>
      </c>
      <c r="F59" s="9">
        <v>1301.43</v>
      </c>
      <c r="G59" s="30">
        <v>34.659999999999997</v>
      </c>
      <c r="H59" s="112">
        <f t="shared" ref="H59:H68" si="8">ROUND(G59*F59,2)</f>
        <v>45107.56</v>
      </c>
      <c r="I59" s="139">
        <v>27.43</v>
      </c>
      <c r="J59" s="114">
        <f t="shared" si="2"/>
        <v>34.659999999999997</v>
      </c>
      <c r="K59" s="119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</row>
    <row r="60" spans="1:130" s="120" customFormat="1" ht="90" thickBot="1" x14ac:dyDescent="0.3">
      <c r="A60" s="164"/>
      <c r="B60" s="95" t="s">
        <v>137</v>
      </c>
      <c r="C60" s="22" t="s">
        <v>149</v>
      </c>
      <c r="D60" s="25" t="s">
        <v>150</v>
      </c>
      <c r="E60" s="3" t="s">
        <v>123</v>
      </c>
      <c r="F60" s="9">
        <v>288.98</v>
      </c>
      <c r="G60" s="28">
        <v>37.909999999999997</v>
      </c>
      <c r="H60" s="112">
        <f t="shared" si="8"/>
        <v>10955.23</v>
      </c>
      <c r="I60" s="139">
        <v>30</v>
      </c>
      <c r="J60" s="114">
        <f t="shared" si="2"/>
        <v>37.909999999999997</v>
      </c>
      <c r="K60" s="119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4"/>
      <c r="DL60" s="124"/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</row>
    <row r="61" spans="1:130" s="123" customFormat="1" ht="90" thickBot="1" x14ac:dyDescent="0.3">
      <c r="A61" s="118"/>
      <c r="B61" s="95" t="s">
        <v>130</v>
      </c>
      <c r="C61" s="22" t="s">
        <v>283</v>
      </c>
      <c r="D61" s="25" t="s">
        <v>284</v>
      </c>
      <c r="E61" s="3" t="s">
        <v>123</v>
      </c>
      <c r="F61" s="9">
        <f>404.64-8.01</f>
        <v>396.63</v>
      </c>
      <c r="G61" s="28">
        <v>33.49</v>
      </c>
      <c r="H61" s="112">
        <f t="shared" si="8"/>
        <v>13283.14</v>
      </c>
      <c r="I61" s="139">
        <v>26.5</v>
      </c>
      <c r="J61" s="114">
        <f t="shared" si="2"/>
        <v>33.49</v>
      </c>
      <c r="K61" s="119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4"/>
      <c r="DZ61" s="124"/>
    </row>
    <row r="62" spans="1:130" s="123" customFormat="1" ht="51.75" thickBot="1" x14ac:dyDescent="0.3">
      <c r="A62" s="118"/>
      <c r="B62" s="95" t="s">
        <v>131</v>
      </c>
      <c r="C62" s="21" t="s">
        <v>267</v>
      </c>
      <c r="D62" s="24" t="s">
        <v>268</v>
      </c>
      <c r="E62" s="3" t="s">
        <v>123</v>
      </c>
      <c r="F62" s="9">
        <f>274.78-8</f>
        <v>266.77999999999997</v>
      </c>
      <c r="G62" s="28">
        <v>40.51</v>
      </c>
      <c r="H62" s="112">
        <f t="shared" si="8"/>
        <v>10807.26</v>
      </c>
      <c r="I62" s="139">
        <v>32.06</v>
      </c>
      <c r="J62" s="114">
        <f t="shared" si="2"/>
        <v>40.51</v>
      </c>
      <c r="K62" s="119"/>
      <c r="L62" s="302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</row>
    <row r="63" spans="1:130" s="124" customFormat="1" ht="77.25" thickBot="1" x14ac:dyDescent="0.3">
      <c r="A63" s="118"/>
      <c r="B63" s="95" t="s">
        <v>132</v>
      </c>
      <c r="C63" s="21" t="s">
        <v>264</v>
      </c>
      <c r="D63" s="24" t="s">
        <v>263</v>
      </c>
      <c r="E63" s="3" t="s">
        <v>123</v>
      </c>
      <c r="F63" s="9">
        <v>229.85</v>
      </c>
      <c r="G63" s="28">
        <v>53.62</v>
      </c>
      <c r="H63" s="112">
        <f t="shared" si="8"/>
        <v>12324.56</v>
      </c>
      <c r="I63" s="139">
        <v>42.43</v>
      </c>
      <c r="J63" s="114">
        <f t="shared" si="2"/>
        <v>53.62</v>
      </c>
      <c r="K63" s="119"/>
      <c r="L63" s="302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</row>
    <row r="64" spans="1:130" s="124" customFormat="1" ht="77.25" thickBot="1" x14ac:dyDescent="0.3">
      <c r="A64" s="118"/>
      <c r="B64" s="95" t="s">
        <v>133</v>
      </c>
      <c r="C64" s="21" t="s">
        <v>266</v>
      </c>
      <c r="D64" s="24" t="s">
        <v>265</v>
      </c>
      <c r="E64" s="3" t="s">
        <v>123</v>
      </c>
      <c r="F64" s="9">
        <v>188.98</v>
      </c>
      <c r="G64" s="28">
        <v>60.87</v>
      </c>
      <c r="H64" s="112">
        <f t="shared" si="8"/>
        <v>11503.21</v>
      </c>
      <c r="I64" s="139">
        <v>48.17</v>
      </c>
      <c r="J64" s="114">
        <f t="shared" si="2"/>
        <v>60.87</v>
      </c>
      <c r="K64" s="119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</row>
    <row r="65" spans="1:130" s="124" customFormat="1" ht="51.75" thickBot="1" x14ac:dyDescent="0.3">
      <c r="A65" s="118"/>
      <c r="B65" s="95" t="s">
        <v>160</v>
      </c>
      <c r="C65" s="229" t="s">
        <v>433</v>
      </c>
      <c r="D65" s="24" t="s">
        <v>434</v>
      </c>
      <c r="E65" s="3" t="s">
        <v>123</v>
      </c>
      <c r="F65" s="9">
        <v>8</v>
      </c>
      <c r="G65" s="28">
        <v>82.22</v>
      </c>
      <c r="H65" s="112">
        <f t="shared" si="8"/>
        <v>657.76</v>
      </c>
      <c r="I65" s="139">
        <v>65.06</v>
      </c>
      <c r="J65" s="114">
        <f t="shared" si="2"/>
        <v>82.22</v>
      </c>
      <c r="K65" s="119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</row>
    <row r="66" spans="1:130" s="124" customFormat="1" ht="26.25" thickBot="1" x14ac:dyDescent="0.3">
      <c r="A66" s="118"/>
      <c r="B66" s="95" t="s">
        <v>163</v>
      </c>
      <c r="C66" s="25" t="s">
        <v>270</v>
      </c>
      <c r="D66" s="149" t="s">
        <v>271</v>
      </c>
      <c r="E66" s="3" t="s">
        <v>78</v>
      </c>
      <c r="F66" s="9">
        <v>1</v>
      </c>
      <c r="G66" s="28">
        <v>6643.27</v>
      </c>
      <c r="H66" s="112">
        <f t="shared" si="8"/>
        <v>6643.27</v>
      </c>
      <c r="I66" s="139"/>
      <c r="J66" s="114">
        <f t="shared" si="2"/>
        <v>0</v>
      </c>
      <c r="K66" s="119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</row>
    <row r="67" spans="1:130" s="124" customFormat="1" ht="64.5" thickBot="1" x14ac:dyDescent="0.3">
      <c r="A67" s="118"/>
      <c r="B67" s="95" t="s">
        <v>165</v>
      </c>
      <c r="C67" s="17" t="s">
        <v>151</v>
      </c>
      <c r="D67" s="25" t="s">
        <v>152</v>
      </c>
      <c r="E67" s="3" t="s">
        <v>123</v>
      </c>
      <c r="F67" s="9">
        <v>404.28</v>
      </c>
      <c r="G67" s="28">
        <v>30.27</v>
      </c>
      <c r="H67" s="112">
        <f t="shared" si="8"/>
        <v>12237.56</v>
      </c>
      <c r="I67" s="139">
        <v>23.95</v>
      </c>
      <c r="J67" s="114">
        <f t="shared" si="2"/>
        <v>30.27</v>
      </c>
      <c r="K67" s="119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</row>
    <row r="68" spans="1:130" s="124" customFormat="1" ht="39" thickBot="1" x14ac:dyDescent="0.3">
      <c r="A68" s="118"/>
      <c r="B68" s="95" t="s">
        <v>166</v>
      </c>
      <c r="C68" s="17" t="s">
        <v>153</v>
      </c>
      <c r="D68" s="149" t="s">
        <v>154</v>
      </c>
      <c r="E68" s="3" t="s">
        <v>123</v>
      </c>
      <c r="F68" s="9">
        <v>404.28</v>
      </c>
      <c r="G68" s="28">
        <v>25.24</v>
      </c>
      <c r="H68" s="112">
        <f t="shared" si="8"/>
        <v>10204.030000000001</v>
      </c>
      <c r="I68" s="139">
        <v>19.97</v>
      </c>
      <c r="J68" s="114">
        <f t="shared" si="2"/>
        <v>25.24</v>
      </c>
      <c r="K68" s="119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</row>
    <row r="69" spans="1:130" s="124" customFormat="1" ht="13.5" thickBot="1" x14ac:dyDescent="0.3">
      <c r="A69" s="118"/>
      <c r="B69" s="143" t="s">
        <v>36</v>
      </c>
      <c r="C69" s="18"/>
      <c r="D69" s="150" t="s">
        <v>46</v>
      </c>
      <c r="E69" s="1"/>
      <c r="F69" s="19"/>
      <c r="G69" s="29"/>
      <c r="H69" s="111">
        <f>SUM(H70:H76)</f>
        <v>75304.210000000006</v>
      </c>
      <c r="I69" s="139"/>
      <c r="J69" s="114">
        <f t="shared" si="2"/>
        <v>0</v>
      </c>
      <c r="K69" s="119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45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</row>
    <row r="70" spans="1:130" s="124" customFormat="1" ht="77.25" thickBot="1" x14ac:dyDescent="0.3">
      <c r="A70" s="118"/>
      <c r="B70" s="95" t="s">
        <v>37</v>
      </c>
      <c r="C70" s="15" t="s">
        <v>155</v>
      </c>
      <c r="D70" s="24" t="s">
        <v>156</v>
      </c>
      <c r="E70" s="3" t="s">
        <v>123</v>
      </c>
      <c r="F70" s="9">
        <v>293.39999999999998</v>
      </c>
      <c r="G70" s="30">
        <v>57.47</v>
      </c>
      <c r="H70" s="112">
        <f t="shared" ref="H70:H76" si="9">ROUND(G70*F70,2)</f>
        <v>16861.7</v>
      </c>
      <c r="I70" s="139">
        <v>45.48</v>
      </c>
      <c r="J70" s="114">
        <f t="shared" si="2"/>
        <v>57.47</v>
      </c>
      <c r="K70" s="119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</row>
    <row r="71" spans="1:130" s="124" customFormat="1" ht="39" thickBot="1" x14ac:dyDescent="0.3">
      <c r="A71" s="118"/>
      <c r="B71" s="95" t="s">
        <v>47</v>
      </c>
      <c r="C71" s="15" t="s">
        <v>168</v>
      </c>
      <c r="D71" s="24" t="s">
        <v>211</v>
      </c>
      <c r="E71" s="3" t="s">
        <v>123</v>
      </c>
      <c r="F71" s="9">
        <v>272.20999999999998</v>
      </c>
      <c r="G71" s="30">
        <v>63.37</v>
      </c>
      <c r="H71" s="112">
        <f t="shared" si="9"/>
        <v>17249.95</v>
      </c>
      <c r="I71" s="139">
        <v>50.15</v>
      </c>
      <c r="J71" s="114">
        <f t="shared" si="2"/>
        <v>63.37</v>
      </c>
      <c r="K71" s="119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</row>
    <row r="72" spans="1:130" s="124" customFormat="1" ht="64.5" thickBot="1" x14ac:dyDescent="0.3">
      <c r="A72" s="118"/>
      <c r="B72" s="95" t="s">
        <v>48</v>
      </c>
      <c r="C72" s="15" t="s">
        <v>238</v>
      </c>
      <c r="D72" s="24" t="s">
        <v>237</v>
      </c>
      <c r="E72" s="3" t="s">
        <v>123</v>
      </c>
      <c r="F72" s="9">
        <f>304.9-11.5</f>
        <v>293.39999999999998</v>
      </c>
      <c r="G72" s="30">
        <v>92.76</v>
      </c>
      <c r="H72" s="112">
        <f t="shared" si="9"/>
        <v>27215.78</v>
      </c>
      <c r="I72" s="139">
        <v>73.400000000000006</v>
      </c>
      <c r="J72" s="114">
        <f>ROUND(I72*1.2637,2)</f>
        <v>92.76</v>
      </c>
      <c r="K72" s="119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</row>
    <row r="73" spans="1:130" s="124" customFormat="1" ht="64.5" thickBot="1" x14ac:dyDescent="0.3">
      <c r="A73" s="118"/>
      <c r="B73" s="95" t="s">
        <v>118</v>
      </c>
      <c r="C73" s="15" t="s">
        <v>435</v>
      </c>
      <c r="D73" s="24" t="s">
        <v>436</v>
      </c>
      <c r="E73" s="3" t="s">
        <v>123</v>
      </c>
      <c r="F73" s="9">
        <v>11.55</v>
      </c>
      <c r="G73" s="30">
        <v>122.19</v>
      </c>
      <c r="H73" s="112">
        <f t="shared" si="9"/>
        <v>1411.29</v>
      </c>
      <c r="I73" s="139">
        <v>96.69</v>
      </c>
      <c r="J73" s="114">
        <f>ROUND(I73*1.2637,2)</f>
        <v>122.19</v>
      </c>
      <c r="K73" s="119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</row>
    <row r="74" spans="1:130" s="124" customFormat="1" ht="39" thickBot="1" x14ac:dyDescent="0.3">
      <c r="A74" s="118"/>
      <c r="B74" s="95" t="s">
        <v>119</v>
      </c>
      <c r="C74" s="15" t="s">
        <v>408</v>
      </c>
      <c r="D74" s="24" t="s">
        <v>409</v>
      </c>
      <c r="E74" s="3" t="s">
        <v>125</v>
      </c>
      <c r="F74" s="9">
        <v>80</v>
      </c>
      <c r="G74" s="30">
        <v>76.540000000000006</v>
      </c>
      <c r="H74" s="112">
        <f t="shared" si="9"/>
        <v>6123.2</v>
      </c>
      <c r="I74" s="139">
        <v>60.57</v>
      </c>
      <c r="J74" s="114">
        <f>ROUND(I74*1.2637,2)</f>
        <v>76.540000000000006</v>
      </c>
      <c r="K74" s="119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</row>
    <row r="75" spans="1:130" s="124" customFormat="1" ht="39" thickBot="1" x14ac:dyDescent="0.3">
      <c r="A75" s="118"/>
      <c r="B75" s="95" t="s">
        <v>121</v>
      </c>
      <c r="C75" s="15" t="s">
        <v>411</v>
      </c>
      <c r="D75" s="24" t="s">
        <v>410</v>
      </c>
      <c r="E75" s="3" t="s">
        <v>125</v>
      </c>
      <c r="F75" s="9">
        <v>45</v>
      </c>
      <c r="G75" s="30">
        <v>46.34</v>
      </c>
      <c r="H75" s="112">
        <f t="shared" si="9"/>
        <v>2085.3000000000002</v>
      </c>
      <c r="I75" s="139">
        <v>36.67</v>
      </c>
      <c r="J75" s="114">
        <f>ROUND(I75*1.2637,2)</f>
        <v>46.34</v>
      </c>
      <c r="K75" s="119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</row>
    <row r="76" spans="1:130" s="124" customFormat="1" ht="77.25" thickBot="1" x14ac:dyDescent="0.3">
      <c r="A76" s="118"/>
      <c r="B76" s="95" t="s">
        <v>144</v>
      </c>
      <c r="C76" s="15" t="s">
        <v>439</v>
      </c>
      <c r="D76" s="24" t="s">
        <v>440</v>
      </c>
      <c r="E76" s="3" t="s">
        <v>123</v>
      </c>
      <c r="F76" s="9">
        <v>293.39999999999998</v>
      </c>
      <c r="G76" s="30">
        <v>14.85</v>
      </c>
      <c r="H76" s="112">
        <f t="shared" si="9"/>
        <v>4356.99</v>
      </c>
      <c r="I76" s="139">
        <v>11.75</v>
      </c>
      <c r="J76" s="114">
        <f>ROUND(I76*1.2637,2)</f>
        <v>14.85</v>
      </c>
      <c r="K76" s="119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</row>
    <row r="77" spans="1:130" s="124" customFormat="1" ht="13.5" thickBot="1" x14ac:dyDescent="0.3">
      <c r="A77" s="118"/>
      <c r="B77" s="143" t="s">
        <v>177</v>
      </c>
      <c r="C77" s="8"/>
      <c r="D77" s="107" t="s">
        <v>30</v>
      </c>
      <c r="E77" s="1" t="s">
        <v>9</v>
      </c>
      <c r="F77" s="6"/>
      <c r="G77" s="29"/>
      <c r="H77" s="111">
        <f>SUM(H78:H110)</f>
        <v>33429.679999999993</v>
      </c>
      <c r="I77" s="139"/>
      <c r="J77" s="114"/>
      <c r="K77" s="119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</row>
    <row r="78" spans="1:130" s="124" customFormat="1" ht="26.25" thickBot="1" x14ac:dyDescent="0.3">
      <c r="A78" s="118"/>
      <c r="B78" s="138" t="s">
        <v>178</v>
      </c>
      <c r="C78" s="11" t="s">
        <v>113</v>
      </c>
      <c r="D78" s="26" t="s">
        <v>49</v>
      </c>
      <c r="E78" s="3" t="s">
        <v>78</v>
      </c>
      <c r="F78" s="31">
        <v>2</v>
      </c>
      <c r="G78" s="28">
        <v>346.66</v>
      </c>
      <c r="H78" s="110">
        <f>ROUND(G78*F78,2)</f>
        <v>693.32</v>
      </c>
      <c r="I78" s="139"/>
      <c r="J78" s="114"/>
      <c r="K78" s="119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</row>
    <row r="79" spans="1:130" s="124" customFormat="1" ht="39" thickBot="1" x14ac:dyDescent="0.3">
      <c r="A79" s="118"/>
      <c r="B79" s="138" t="s">
        <v>179</v>
      </c>
      <c r="C79" s="221" t="s">
        <v>50</v>
      </c>
      <c r="D79" s="222" t="s">
        <v>51</v>
      </c>
      <c r="E79" s="223" t="s">
        <v>78</v>
      </c>
      <c r="F79" s="224">
        <v>10</v>
      </c>
      <c r="G79" s="225">
        <v>53.38</v>
      </c>
      <c r="H79" s="226">
        <f t="shared" ref="H79:H110" si="10">ROUND(G79*F79,2)</f>
        <v>533.79999999999995</v>
      </c>
      <c r="I79" s="139">
        <v>42.24</v>
      </c>
      <c r="J79" s="114">
        <f t="shared" si="2"/>
        <v>53.38</v>
      </c>
      <c r="K79" s="119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</row>
    <row r="80" spans="1:130" s="124" customFormat="1" ht="26.25" thickBot="1" x14ac:dyDescent="0.3">
      <c r="A80" s="118"/>
      <c r="B80" s="138" t="s">
        <v>180</v>
      </c>
      <c r="C80" s="221" t="s">
        <v>489</v>
      </c>
      <c r="D80" s="222" t="s">
        <v>483</v>
      </c>
      <c r="E80" s="243" t="s">
        <v>78</v>
      </c>
      <c r="F80" s="244">
        <v>2</v>
      </c>
      <c r="G80" s="231">
        <v>30.9</v>
      </c>
      <c r="H80" s="242">
        <f t="shared" si="10"/>
        <v>61.8</v>
      </c>
      <c r="I80" s="139"/>
      <c r="J80" s="114"/>
      <c r="K80" s="119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</row>
    <row r="81" spans="1:130" s="124" customFormat="1" ht="64.5" thickBot="1" x14ac:dyDescent="0.3">
      <c r="A81" s="118"/>
      <c r="B81" s="138" t="s">
        <v>181</v>
      </c>
      <c r="C81" s="227" t="s">
        <v>157</v>
      </c>
      <c r="D81" s="228" t="s">
        <v>299</v>
      </c>
      <c r="E81" s="223" t="s">
        <v>78</v>
      </c>
      <c r="F81" s="224">
        <v>25</v>
      </c>
      <c r="G81" s="225">
        <v>119.14</v>
      </c>
      <c r="H81" s="226">
        <f t="shared" si="10"/>
        <v>2978.5</v>
      </c>
      <c r="I81" s="139">
        <v>94.28</v>
      </c>
      <c r="J81" s="114">
        <f t="shared" si="2"/>
        <v>119.14</v>
      </c>
      <c r="K81" s="119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</row>
    <row r="82" spans="1:130" s="146" customFormat="1" ht="51.75" thickBot="1" x14ac:dyDescent="0.3">
      <c r="A82" s="165"/>
      <c r="B82" s="138" t="s">
        <v>182</v>
      </c>
      <c r="C82" s="229" t="s">
        <v>158</v>
      </c>
      <c r="D82" s="230" t="s">
        <v>300</v>
      </c>
      <c r="E82" s="223" t="s">
        <v>159</v>
      </c>
      <c r="F82" s="10">
        <v>15</v>
      </c>
      <c r="G82" s="231">
        <v>106.34</v>
      </c>
      <c r="H82" s="226">
        <f t="shared" si="10"/>
        <v>1595.1</v>
      </c>
      <c r="I82" s="139">
        <v>84.15</v>
      </c>
      <c r="J82" s="114">
        <f t="shared" si="2"/>
        <v>106.34</v>
      </c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</row>
    <row r="83" spans="1:130" s="122" customFormat="1" ht="63.75" x14ac:dyDescent="0.25">
      <c r="B83" s="138" t="s">
        <v>183</v>
      </c>
      <c r="C83" s="218" t="s">
        <v>161</v>
      </c>
      <c r="D83" s="218" t="s">
        <v>162</v>
      </c>
      <c r="E83" s="223" t="s">
        <v>78</v>
      </c>
      <c r="F83" s="10">
        <v>15</v>
      </c>
      <c r="G83" s="225">
        <v>82.99</v>
      </c>
      <c r="H83" s="226">
        <f t="shared" si="10"/>
        <v>1244.8499999999999</v>
      </c>
      <c r="I83" s="139">
        <v>65.67</v>
      </c>
      <c r="J83" s="114">
        <f t="shared" si="2"/>
        <v>82.99</v>
      </c>
      <c r="K83" s="119"/>
    </row>
    <row r="84" spans="1:130" s="122" customFormat="1" ht="38.25" x14ac:dyDescent="0.25">
      <c r="B84" s="138" t="s">
        <v>184</v>
      </c>
      <c r="C84" s="241" t="s">
        <v>212</v>
      </c>
      <c r="D84" s="218" t="s">
        <v>164</v>
      </c>
      <c r="E84" s="219" t="s">
        <v>78</v>
      </c>
      <c r="F84" s="10">
        <v>6</v>
      </c>
      <c r="G84" s="231">
        <v>435.22</v>
      </c>
      <c r="H84" s="242">
        <f t="shared" si="10"/>
        <v>2611.3200000000002</v>
      </c>
      <c r="I84" s="139">
        <v>344.4</v>
      </c>
      <c r="J84" s="114">
        <f t="shared" si="2"/>
        <v>435.22</v>
      </c>
      <c r="K84" s="119"/>
    </row>
    <row r="85" spans="1:130" s="122" customFormat="1" ht="76.5" x14ac:dyDescent="0.25">
      <c r="B85" s="138" t="s">
        <v>190</v>
      </c>
      <c r="C85" s="241" t="s">
        <v>301</v>
      </c>
      <c r="D85" s="218" t="s">
        <v>302</v>
      </c>
      <c r="E85" s="219" t="s">
        <v>78</v>
      </c>
      <c r="F85" s="10">
        <v>1</v>
      </c>
      <c r="G85" s="231">
        <v>749.64</v>
      </c>
      <c r="H85" s="242">
        <f t="shared" si="10"/>
        <v>749.64</v>
      </c>
      <c r="I85" s="139">
        <v>593.21</v>
      </c>
      <c r="J85" s="114">
        <f t="shared" si="2"/>
        <v>749.64</v>
      </c>
      <c r="K85" s="119"/>
    </row>
    <row r="86" spans="1:130" s="122" customFormat="1" ht="25.5" x14ac:dyDescent="0.25">
      <c r="B86" s="138" t="s">
        <v>191</v>
      </c>
      <c r="C86" s="241" t="s">
        <v>309</v>
      </c>
      <c r="D86" s="218" t="s">
        <v>310</v>
      </c>
      <c r="E86" s="219" t="s">
        <v>78</v>
      </c>
      <c r="F86" s="10">
        <v>2</v>
      </c>
      <c r="G86" s="231">
        <v>13.69</v>
      </c>
      <c r="H86" s="242">
        <f t="shared" si="10"/>
        <v>27.38</v>
      </c>
      <c r="I86" s="139"/>
      <c r="J86" s="114"/>
      <c r="K86" s="119"/>
    </row>
    <row r="87" spans="1:130" s="122" customFormat="1" ht="51" x14ac:dyDescent="0.25">
      <c r="B87" s="138" t="s">
        <v>192</v>
      </c>
      <c r="C87" s="221" t="s">
        <v>138</v>
      </c>
      <c r="D87" s="222" t="s">
        <v>139</v>
      </c>
      <c r="E87" s="243" t="s">
        <v>125</v>
      </c>
      <c r="F87" s="244">
        <v>96</v>
      </c>
      <c r="G87" s="231">
        <v>8.1</v>
      </c>
      <c r="H87" s="242">
        <f t="shared" si="10"/>
        <v>777.6</v>
      </c>
      <c r="I87" s="139">
        <v>6.41</v>
      </c>
      <c r="J87" s="114">
        <f t="shared" si="2"/>
        <v>8.1</v>
      </c>
      <c r="K87" s="119"/>
    </row>
    <row r="88" spans="1:130" s="122" customFormat="1" ht="63.75" customHeight="1" x14ac:dyDescent="0.25">
      <c r="B88" s="138" t="s">
        <v>193</v>
      </c>
      <c r="C88" s="218" t="s">
        <v>70</v>
      </c>
      <c r="D88" s="218" t="s">
        <v>69</v>
      </c>
      <c r="E88" s="243" t="s">
        <v>125</v>
      </c>
      <c r="F88" s="10">
        <v>60</v>
      </c>
      <c r="G88" s="231">
        <v>47.02</v>
      </c>
      <c r="H88" s="242">
        <f t="shared" si="10"/>
        <v>2821.2</v>
      </c>
      <c r="I88" s="139">
        <v>37.21</v>
      </c>
      <c r="J88" s="114">
        <f t="shared" si="2"/>
        <v>47.02</v>
      </c>
      <c r="K88" s="119"/>
    </row>
    <row r="89" spans="1:130" s="122" customFormat="1" ht="63.75" customHeight="1" x14ac:dyDescent="0.25">
      <c r="B89" s="138" t="s">
        <v>219</v>
      </c>
      <c r="C89" s="245" t="s">
        <v>71</v>
      </c>
      <c r="D89" s="218" t="s">
        <v>72</v>
      </c>
      <c r="E89" s="243" t="s">
        <v>125</v>
      </c>
      <c r="F89" s="10">
        <v>78</v>
      </c>
      <c r="G89" s="231">
        <v>16.489999999999998</v>
      </c>
      <c r="H89" s="242">
        <f t="shared" si="10"/>
        <v>1286.22</v>
      </c>
      <c r="I89" s="139">
        <v>13.05</v>
      </c>
      <c r="J89" s="114">
        <f t="shared" si="2"/>
        <v>16.489999999999998</v>
      </c>
      <c r="K89" s="119"/>
    </row>
    <row r="90" spans="1:130" s="122" customFormat="1" ht="38.25" x14ac:dyDescent="0.25">
      <c r="B90" s="138" t="s">
        <v>220</v>
      </c>
      <c r="C90" s="218" t="s">
        <v>52</v>
      </c>
      <c r="D90" s="218" t="s">
        <v>53</v>
      </c>
      <c r="E90" s="243" t="s">
        <v>78</v>
      </c>
      <c r="F90" s="10">
        <v>10</v>
      </c>
      <c r="G90" s="231">
        <v>17.690000000000001</v>
      </c>
      <c r="H90" s="242">
        <f t="shared" si="10"/>
        <v>176.9</v>
      </c>
      <c r="I90" s="139">
        <v>14</v>
      </c>
      <c r="J90" s="114">
        <f t="shared" si="2"/>
        <v>17.690000000000001</v>
      </c>
      <c r="K90" s="119"/>
    </row>
    <row r="91" spans="1:130" s="122" customFormat="1" ht="51" x14ac:dyDescent="0.25">
      <c r="B91" s="138" t="s">
        <v>221</v>
      </c>
      <c r="C91" s="245" t="s">
        <v>213</v>
      </c>
      <c r="D91" s="218" t="s">
        <v>214</v>
      </c>
      <c r="E91" s="243" t="s">
        <v>78</v>
      </c>
      <c r="F91" s="10">
        <v>30</v>
      </c>
      <c r="G91" s="231">
        <v>7.52</v>
      </c>
      <c r="H91" s="112">
        <f t="shared" si="10"/>
        <v>225.6</v>
      </c>
      <c r="I91" s="139">
        <v>5.95</v>
      </c>
      <c r="J91" s="116">
        <f t="shared" si="2"/>
        <v>7.52</v>
      </c>
      <c r="K91" s="119"/>
    </row>
    <row r="92" spans="1:130" s="122" customFormat="1" ht="63.75" customHeight="1" x14ac:dyDescent="0.25">
      <c r="B92" s="138" t="s">
        <v>222</v>
      </c>
      <c r="C92" s="245" t="s">
        <v>215</v>
      </c>
      <c r="D92" s="218" t="s">
        <v>216</v>
      </c>
      <c r="E92" s="243" t="s">
        <v>78</v>
      </c>
      <c r="F92" s="10">
        <v>30</v>
      </c>
      <c r="G92" s="231">
        <v>10.46</v>
      </c>
      <c r="H92" s="112">
        <f t="shared" si="10"/>
        <v>313.8</v>
      </c>
      <c r="I92" s="139">
        <v>8.2799999999999994</v>
      </c>
      <c r="J92" s="114">
        <f t="shared" si="2"/>
        <v>10.46</v>
      </c>
      <c r="K92" s="119"/>
    </row>
    <row r="93" spans="1:130" s="122" customFormat="1" ht="63.75" customHeight="1" x14ac:dyDescent="0.25">
      <c r="B93" s="138" t="s">
        <v>223</v>
      </c>
      <c r="C93" s="221" t="s">
        <v>217</v>
      </c>
      <c r="D93" s="218" t="s">
        <v>218</v>
      </c>
      <c r="E93" s="219" t="s">
        <v>78</v>
      </c>
      <c r="F93" s="10">
        <v>15</v>
      </c>
      <c r="G93" s="231">
        <v>33.89</v>
      </c>
      <c r="H93" s="112">
        <f t="shared" si="10"/>
        <v>508.35</v>
      </c>
      <c r="I93" s="139">
        <v>26.82</v>
      </c>
      <c r="J93" s="114">
        <f t="shared" si="2"/>
        <v>33.89</v>
      </c>
      <c r="K93" s="119"/>
    </row>
    <row r="94" spans="1:130" s="122" customFormat="1" ht="63.75" customHeight="1" x14ac:dyDescent="0.25">
      <c r="B94" s="138" t="s">
        <v>228</v>
      </c>
      <c r="C94" s="221" t="s">
        <v>224</v>
      </c>
      <c r="D94" s="218" t="s">
        <v>225</v>
      </c>
      <c r="E94" s="219" t="s">
        <v>125</v>
      </c>
      <c r="F94" s="10">
        <v>30</v>
      </c>
      <c r="G94" s="231">
        <v>13.33</v>
      </c>
      <c r="H94" s="112">
        <f t="shared" ref="H94" si="11">ROUND(G94*F94,2)</f>
        <v>399.9</v>
      </c>
      <c r="I94" s="139">
        <v>6.41</v>
      </c>
      <c r="J94" s="114">
        <f t="shared" si="2"/>
        <v>8.1</v>
      </c>
      <c r="K94" s="119"/>
    </row>
    <row r="95" spans="1:130" s="122" customFormat="1" ht="63.75" customHeight="1" x14ac:dyDescent="0.25">
      <c r="B95" s="138" t="s">
        <v>229</v>
      </c>
      <c r="C95" s="218" t="s">
        <v>226</v>
      </c>
      <c r="D95" s="218" t="s">
        <v>227</v>
      </c>
      <c r="E95" s="219" t="s">
        <v>125</v>
      </c>
      <c r="F95" s="10">
        <v>30</v>
      </c>
      <c r="G95" s="231">
        <v>28.21</v>
      </c>
      <c r="H95" s="112">
        <f t="shared" si="10"/>
        <v>846.3</v>
      </c>
      <c r="I95" s="139">
        <v>22.32</v>
      </c>
      <c r="J95" s="114">
        <f t="shared" si="2"/>
        <v>28.21</v>
      </c>
      <c r="K95" s="119"/>
    </row>
    <row r="96" spans="1:130" s="122" customFormat="1" ht="63.75" customHeight="1" x14ac:dyDescent="0.25">
      <c r="B96" s="138" t="s">
        <v>445</v>
      </c>
      <c r="C96" s="218" t="s">
        <v>230</v>
      </c>
      <c r="D96" s="222" t="s">
        <v>231</v>
      </c>
      <c r="E96" s="243" t="s">
        <v>125</v>
      </c>
      <c r="F96" s="10">
        <v>30</v>
      </c>
      <c r="G96" s="231">
        <v>31.42</v>
      </c>
      <c r="H96" s="112">
        <f t="shared" si="10"/>
        <v>942.6</v>
      </c>
      <c r="I96" s="139">
        <v>24.86</v>
      </c>
      <c r="J96" s="114">
        <f t="shared" si="2"/>
        <v>31.42</v>
      </c>
      <c r="K96" s="119"/>
    </row>
    <row r="97" spans="2:11" s="122" customFormat="1" ht="63.75" customHeight="1" x14ac:dyDescent="0.25">
      <c r="B97" s="138" t="s">
        <v>448</v>
      </c>
      <c r="C97" s="218" t="s">
        <v>232</v>
      </c>
      <c r="D97" s="222" t="s">
        <v>233</v>
      </c>
      <c r="E97" s="243" t="s">
        <v>78</v>
      </c>
      <c r="F97" s="10">
        <v>2</v>
      </c>
      <c r="G97" s="231">
        <v>1056.4000000000001</v>
      </c>
      <c r="H97" s="112">
        <f t="shared" si="10"/>
        <v>2112.8000000000002</v>
      </c>
      <c r="I97" s="139">
        <v>835.96</v>
      </c>
      <c r="J97" s="114">
        <f t="shared" si="2"/>
        <v>1056.4000000000001</v>
      </c>
      <c r="K97" s="119"/>
    </row>
    <row r="98" spans="2:11" s="122" customFormat="1" ht="63.75" customHeight="1" x14ac:dyDescent="0.25">
      <c r="B98" s="138" t="s">
        <v>453</v>
      </c>
      <c r="C98" s="218" t="s">
        <v>67</v>
      </c>
      <c r="D98" s="218" t="s">
        <v>68</v>
      </c>
      <c r="E98" s="243" t="s">
        <v>78</v>
      </c>
      <c r="F98" s="10">
        <v>10</v>
      </c>
      <c r="G98" s="231">
        <v>12.31</v>
      </c>
      <c r="H98" s="242">
        <f t="shared" si="10"/>
        <v>123.1</v>
      </c>
      <c r="I98" s="139">
        <v>9.74</v>
      </c>
      <c r="J98" s="114">
        <f t="shared" si="2"/>
        <v>12.31</v>
      </c>
      <c r="K98" s="119"/>
    </row>
    <row r="99" spans="2:11" s="122" customFormat="1" ht="63.75" customHeight="1" x14ac:dyDescent="0.25">
      <c r="B99" s="138" t="s">
        <v>454</v>
      </c>
      <c r="C99" s="218" t="s">
        <v>441</v>
      </c>
      <c r="D99" s="222" t="s">
        <v>442</v>
      </c>
      <c r="E99" s="243" t="s">
        <v>78</v>
      </c>
      <c r="F99" s="10">
        <v>1</v>
      </c>
      <c r="G99" s="231">
        <v>219.53</v>
      </c>
      <c r="H99" s="112">
        <f t="shared" si="10"/>
        <v>219.53</v>
      </c>
      <c r="I99" s="139">
        <v>173.72</v>
      </c>
      <c r="J99" s="114">
        <f t="shared" ref="J99:J109" si="12">ROUND(I99*1.2637,2)</f>
        <v>219.53</v>
      </c>
      <c r="K99" s="119"/>
    </row>
    <row r="100" spans="2:11" s="122" customFormat="1" ht="89.25" x14ac:dyDescent="0.25">
      <c r="B100" s="138" t="s">
        <v>455</v>
      </c>
      <c r="C100" s="218" t="s">
        <v>443</v>
      </c>
      <c r="D100" s="222" t="s">
        <v>444</v>
      </c>
      <c r="E100" s="243" t="s">
        <v>78</v>
      </c>
      <c r="F100" s="10">
        <v>5</v>
      </c>
      <c r="G100" s="231">
        <v>637.05999999999995</v>
      </c>
      <c r="H100" s="112">
        <f t="shared" si="10"/>
        <v>3185.3</v>
      </c>
      <c r="I100" s="139">
        <v>504.12</v>
      </c>
      <c r="J100" s="114">
        <f t="shared" si="12"/>
        <v>637.05999999999995</v>
      </c>
      <c r="K100" s="119"/>
    </row>
    <row r="101" spans="2:11" s="122" customFormat="1" ht="63.75" x14ac:dyDescent="0.25">
      <c r="B101" s="138" t="s">
        <v>456</v>
      </c>
      <c r="C101" s="218" t="s">
        <v>484</v>
      </c>
      <c r="D101" s="218" t="s">
        <v>490</v>
      </c>
      <c r="E101" s="219" t="s">
        <v>123</v>
      </c>
      <c r="F101" s="10">
        <v>2.7</v>
      </c>
      <c r="G101" s="231">
        <v>360</v>
      </c>
      <c r="H101" s="112">
        <f t="shared" si="10"/>
        <v>972</v>
      </c>
      <c r="I101" s="139"/>
      <c r="J101" s="114"/>
      <c r="K101" s="119"/>
    </row>
    <row r="102" spans="2:11" s="122" customFormat="1" ht="63.75" x14ac:dyDescent="0.25">
      <c r="B102" s="138" t="s">
        <v>467</v>
      </c>
      <c r="C102" s="218" t="s">
        <v>485</v>
      </c>
      <c r="D102" s="218" t="s">
        <v>491</v>
      </c>
      <c r="E102" s="219" t="s">
        <v>486</v>
      </c>
      <c r="F102" s="10">
        <v>2</v>
      </c>
      <c r="G102" s="231">
        <v>163.69</v>
      </c>
      <c r="H102" s="112">
        <f t="shared" si="10"/>
        <v>327.38</v>
      </c>
      <c r="I102" s="139"/>
      <c r="J102" s="114"/>
      <c r="K102" s="119"/>
    </row>
    <row r="103" spans="2:11" s="122" customFormat="1" ht="63.75" x14ac:dyDescent="0.25">
      <c r="B103" s="138" t="s">
        <v>468</v>
      </c>
      <c r="C103" s="218" t="s">
        <v>487</v>
      </c>
      <c r="D103" s="218" t="s">
        <v>488</v>
      </c>
      <c r="E103" s="219" t="s">
        <v>486</v>
      </c>
      <c r="F103" s="10">
        <v>4</v>
      </c>
      <c r="G103" s="231">
        <v>349.3</v>
      </c>
      <c r="H103" s="112">
        <f t="shared" si="10"/>
        <v>1397.2</v>
      </c>
      <c r="I103" s="139"/>
      <c r="J103" s="114"/>
      <c r="K103" s="119"/>
    </row>
    <row r="104" spans="2:11" s="122" customFormat="1" ht="102" x14ac:dyDescent="0.25">
      <c r="B104" s="138" t="s">
        <v>469</v>
      </c>
      <c r="C104" s="218" t="s">
        <v>446</v>
      </c>
      <c r="D104" s="222" t="s">
        <v>447</v>
      </c>
      <c r="E104" s="243" t="s">
        <v>78</v>
      </c>
      <c r="F104" s="10">
        <v>2</v>
      </c>
      <c r="G104" s="231">
        <v>1123</v>
      </c>
      <c r="H104" s="112">
        <f t="shared" si="10"/>
        <v>2246</v>
      </c>
      <c r="I104" s="139">
        <v>888.66</v>
      </c>
      <c r="J104" s="114">
        <f t="shared" si="12"/>
        <v>1123</v>
      </c>
      <c r="K104" s="119"/>
    </row>
    <row r="105" spans="2:11" s="122" customFormat="1" ht="89.25" x14ac:dyDescent="0.25">
      <c r="B105" s="138" t="s">
        <v>471</v>
      </c>
      <c r="C105" s="218" t="s">
        <v>449</v>
      </c>
      <c r="D105" s="222" t="s">
        <v>450</v>
      </c>
      <c r="E105" s="243" t="s">
        <v>78</v>
      </c>
      <c r="F105" s="10">
        <v>5</v>
      </c>
      <c r="G105" s="231">
        <v>343.11</v>
      </c>
      <c r="H105" s="112">
        <f t="shared" si="10"/>
        <v>1715.55</v>
      </c>
      <c r="I105" s="139">
        <v>271.51</v>
      </c>
      <c r="J105" s="114">
        <f t="shared" si="12"/>
        <v>343.11</v>
      </c>
      <c r="K105" s="119"/>
    </row>
    <row r="106" spans="2:11" s="122" customFormat="1" ht="89.25" x14ac:dyDescent="0.25">
      <c r="B106" s="138" t="s">
        <v>472</v>
      </c>
      <c r="C106" s="218" t="s">
        <v>451</v>
      </c>
      <c r="D106" s="222" t="s">
        <v>452</v>
      </c>
      <c r="E106" s="243" t="s">
        <v>78</v>
      </c>
      <c r="F106" s="10">
        <v>1</v>
      </c>
      <c r="G106" s="231">
        <v>218.44</v>
      </c>
      <c r="H106" s="112">
        <f t="shared" si="10"/>
        <v>218.44</v>
      </c>
      <c r="I106" s="139">
        <v>172.86</v>
      </c>
      <c r="J106" s="114">
        <f t="shared" si="12"/>
        <v>218.44</v>
      </c>
      <c r="K106" s="119"/>
    </row>
    <row r="107" spans="2:11" s="122" customFormat="1" ht="25.5" x14ac:dyDescent="0.25">
      <c r="B107" s="138" t="s">
        <v>492</v>
      </c>
      <c r="C107" s="218" t="s">
        <v>462</v>
      </c>
      <c r="D107" s="222" t="s">
        <v>463</v>
      </c>
      <c r="E107" s="243" t="s">
        <v>78</v>
      </c>
      <c r="F107" s="10">
        <v>7</v>
      </c>
      <c r="G107" s="231">
        <v>57.47</v>
      </c>
      <c r="H107" s="112">
        <f t="shared" si="10"/>
        <v>402.29</v>
      </c>
      <c r="I107" s="139">
        <v>45.48</v>
      </c>
      <c r="J107" s="114">
        <f t="shared" si="12"/>
        <v>57.47</v>
      </c>
      <c r="K107" s="119"/>
    </row>
    <row r="108" spans="2:11" s="122" customFormat="1" ht="38.25" x14ac:dyDescent="0.25">
      <c r="B108" s="138" t="s">
        <v>493</v>
      </c>
      <c r="C108" s="218" t="s">
        <v>465</v>
      </c>
      <c r="D108" s="222" t="s">
        <v>464</v>
      </c>
      <c r="E108" s="243" t="s">
        <v>78</v>
      </c>
      <c r="F108" s="10">
        <v>7</v>
      </c>
      <c r="G108" s="231">
        <v>73.27</v>
      </c>
      <c r="H108" s="112">
        <f t="shared" si="10"/>
        <v>512.89</v>
      </c>
      <c r="I108" s="139">
        <v>57.98</v>
      </c>
      <c r="J108" s="114">
        <f t="shared" si="12"/>
        <v>73.27</v>
      </c>
      <c r="K108" s="119"/>
    </row>
    <row r="109" spans="2:11" s="122" customFormat="1" ht="38.25" x14ac:dyDescent="0.25">
      <c r="B109" s="138" t="s">
        <v>494</v>
      </c>
      <c r="C109" s="218" t="s">
        <v>466</v>
      </c>
      <c r="D109" s="222" t="s">
        <v>470</v>
      </c>
      <c r="E109" s="243" t="s">
        <v>78</v>
      </c>
      <c r="F109" s="10">
        <v>7</v>
      </c>
      <c r="G109" s="231">
        <v>58.85</v>
      </c>
      <c r="H109" s="112">
        <f t="shared" si="10"/>
        <v>411.95</v>
      </c>
      <c r="I109" s="139">
        <v>46.57</v>
      </c>
      <c r="J109" s="114">
        <f t="shared" si="12"/>
        <v>58.85</v>
      </c>
      <c r="K109" s="119"/>
    </row>
    <row r="110" spans="2:11" s="122" customFormat="1" ht="63.75" x14ac:dyDescent="0.25">
      <c r="B110" s="138" t="s">
        <v>495</v>
      </c>
      <c r="C110" s="218" t="s">
        <v>457</v>
      </c>
      <c r="D110" s="222" t="s">
        <v>458</v>
      </c>
      <c r="E110" s="243" t="s">
        <v>159</v>
      </c>
      <c r="F110" s="10">
        <v>7</v>
      </c>
      <c r="G110" s="231">
        <v>113.01</v>
      </c>
      <c r="H110" s="112">
        <f t="shared" si="10"/>
        <v>791.07</v>
      </c>
      <c r="I110" s="139">
        <v>89.43</v>
      </c>
      <c r="J110" s="114">
        <f t="shared" ref="J110" si="13">ROUND(I110*1.2637,2)</f>
        <v>113.01</v>
      </c>
      <c r="K110" s="119"/>
    </row>
    <row r="111" spans="2:11" s="122" customFormat="1" ht="12.75" x14ac:dyDescent="0.25">
      <c r="B111" s="232" t="s">
        <v>185</v>
      </c>
      <c r="C111" s="233"/>
      <c r="D111" s="234" t="s">
        <v>33</v>
      </c>
      <c r="E111" s="235" t="s">
        <v>9</v>
      </c>
      <c r="F111" s="6"/>
      <c r="G111" s="236"/>
      <c r="H111" s="111">
        <f>SUM(H112:H140)</f>
        <v>72762.570000000007</v>
      </c>
      <c r="I111" s="139"/>
      <c r="J111" s="114"/>
      <c r="K111" s="119"/>
    </row>
    <row r="112" spans="2:11" s="122" customFormat="1" ht="63.75" customHeight="1" x14ac:dyDescent="0.25">
      <c r="B112" s="248" t="s">
        <v>186</v>
      </c>
      <c r="C112" s="218" t="s">
        <v>114</v>
      </c>
      <c r="D112" s="219" t="s">
        <v>54</v>
      </c>
      <c r="E112" s="243" t="s">
        <v>78</v>
      </c>
      <c r="F112" s="10">
        <v>2</v>
      </c>
      <c r="G112" s="204">
        <v>349.59</v>
      </c>
      <c r="H112" s="112">
        <f>ROUND(G112*F112,2)</f>
        <v>699.18</v>
      </c>
      <c r="I112" s="139"/>
      <c r="J112" s="114">
        <f>ROUND(I112*1.2637,2)</f>
        <v>0</v>
      </c>
      <c r="K112" s="119"/>
    </row>
    <row r="113" spans="2:10" s="122" customFormat="1" ht="38.25" x14ac:dyDescent="0.25">
      <c r="B113" s="248" t="s">
        <v>336</v>
      </c>
      <c r="C113" s="221" t="s">
        <v>476</v>
      </c>
      <c r="D113" s="228" t="s">
        <v>477</v>
      </c>
      <c r="E113" s="219" t="s">
        <v>78</v>
      </c>
      <c r="F113" s="10">
        <v>1</v>
      </c>
      <c r="G113" s="225">
        <v>1079.48</v>
      </c>
      <c r="H113" s="249">
        <f t="shared" ref="H113:H118" si="14">ROUND(G113*F113,2)</f>
        <v>1079.48</v>
      </c>
      <c r="I113" s="139">
        <v>854.22</v>
      </c>
      <c r="J113" s="114">
        <f t="shared" si="2"/>
        <v>1079.48</v>
      </c>
    </row>
    <row r="114" spans="2:10" s="122" customFormat="1" ht="63.75" x14ac:dyDescent="0.25">
      <c r="B114" s="248" t="s">
        <v>187</v>
      </c>
      <c r="C114" s="221" t="s">
        <v>459</v>
      </c>
      <c r="D114" s="228" t="s">
        <v>344</v>
      </c>
      <c r="E114" s="219" t="s">
        <v>78</v>
      </c>
      <c r="F114" s="10">
        <v>1</v>
      </c>
      <c r="G114" s="10">
        <v>114.82</v>
      </c>
      <c r="H114" s="249">
        <f t="shared" si="14"/>
        <v>114.82</v>
      </c>
      <c r="I114" s="139">
        <v>90.86</v>
      </c>
      <c r="J114" s="114">
        <f t="shared" si="2"/>
        <v>114.82</v>
      </c>
    </row>
    <row r="115" spans="2:10" s="122" customFormat="1" ht="51" x14ac:dyDescent="0.25">
      <c r="B115" s="248" t="s">
        <v>194</v>
      </c>
      <c r="C115" s="221" t="s">
        <v>342</v>
      </c>
      <c r="D115" s="228" t="s">
        <v>343</v>
      </c>
      <c r="E115" s="219" t="s">
        <v>78</v>
      </c>
      <c r="F115" s="10">
        <v>1</v>
      </c>
      <c r="G115" s="10">
        <v>495.33</v>
      </c>
      <c r="H115" s="249">
        <f t="shared" si="14"/>
        <v>495.33</v>
      </c>
      <c r="I115" s="139">
        <v>391.97</v>
      </c>
      <c r="J115" s="114">
        <f t="shared" si="2"/>
        <v>495.33</v>
      </c>
    </row>
    <row r="116" spans="2:10" s="122" customFormat="1" ht="38.25" x14ac:dyDescent="0.25">
      <c r="B116" s="248" t="s">
        <v>195</v>
      </c>
      <c r="C116" s="221" t="s">
        <v>355</v>
      </c>
      <c r="D116" s="228" t="s">
        <v>361</v>
      </c>
      <c r="E116" s="219" t="s">
        <v>78</v>
      </c>
      <c r="F116" s="10">
        <v>1</v>
      </c>
      <c r="G116" s="10">
        <v>36.340000000000003</v>
      </c>
      <c r="H116" s="249">
        <f t="shared" si="14"/>
        <v>36.340000000000003</v>
      </c>
      <c r="I116" s="139">
        <v>28.76</v>
      </c>
      <c r="J116" s="114">
        <f t="shared" si="2"/>
        <v>36.340000000000003</v>
      </c>
    </row>
    <row r="117" spans="2:10" s="122" customFormat="1" ht="38.25" x14ac:dyDescent="0.25">
      <c r="B117" s="248" t="s">
        <v>196</v>
      </c>
      <c r="C117" s="221" t="s">
        <v>320</v>
      </c>
      <c r="D117" s="228" t="s">
        <v>334</v>
      </c>
      <c r="E117" s="219" t="s">
        <v>78</v>
      </c>
      <c r="F117" s="10">
        <v>1</v>
      </c>
      <c r="G117" s="225">
        <v>221.08</v>
      </c>
      <c r="H117" s="249">
        <f t="shared" si="14"/>
        <v>221.08</v>
      </c>
      <c r="I117" s="139"/>
      <c r="J117" s="114">
        <f t="shared" si="2"/>
        <v>0</v>
      </c>
    </row>
    <row r="118" spans="2:10" s="122" customFormat="1" ht="89.25" x14ac:dyDescent="0.25">
      <c r="B118" s="248" t="s">
        <v>197</v>
      </c>
      <c r="C118" s="221" t="s">
        <v>478</v>
      </c>
      <c r="D118" s="228" t="s">
        <v>479</v>
      </c>
      <c r="E118" s="219" t="s">
        <v>78</v>
      </c>
      <c r="F118" s="10">
        <v>1</v>
      </c>
      <c r="G118" s="225">
        <v>325.14</v>
      </c>
      <c r="H118" s="249">
        <f t="shared" si="14"/>
        <v>325.14</v>
      </c>
      <c r="I118" s="139">
        <v>257.29000000000002</v>
      </c>
      <c r="J118" s="114">
        <f t="shared" si="2"/>
        <v>325.14</v>
      </c>
    </row>
    <row r="119" spans="2:10" s="122" customFormat="1" ht="25.5" x14ac:dyDescent="0.25">
      <c r="B119" s="248" t="s">
        <v>246</v>
      </c>
      <c r="C119" s="218" t="s">
        <v>347</v>
      </c>
      <c r="D119" s="228" t="s">
        <v>348</v>
      </c>
      <c r="E119" s="219" t="s">
        <v>78</v>
      </c>
      <c r="F119" s="10">
        <v>4</v>
      </c>
      <c r="G119" s="225">
        <v>104.32</v>
      </c>
      <c r="H119" s="249">
        <f t="shared" ref="H119:H128" si="15">ROUND(G119*F119,2)</f>
        <v>417.28</v>
      </c>
      <c r="I119" s="139">
        <v>82.55</v>
      </c>
      <c r="J119" s="114">
        <f t="shared" si="2"/>
        <v>104.32</v>
      </c>
    </row>
    <row r="120" spans="2:10" s="122" customFormat="1" ht="51" x14ac:dyDescent="0.25">
      <c r="B120" s="248" t="s">
        <v>247</v>
      </c>
      <c r="C120" s="218" t="s">
        <v>349</v>
      </c>
      <c r="D120" s="228" t="s">
        <v>350</v>
      </c>
      <c r="E120" s="219" t="s">
        <v>78</v>
      </c>
      <c r="F120" s="10">
        <v>4</v>
      </c>
      <c r="G120" s="225">
        <v>225.09</v>
      </c>
      <c r="H120" s="249">
        <f t="shared" si="15"/>
        <v>900.36</v>
      </c>
      <c r="I120" s="139">
        <v>178.12</v>
      </c>
      <c r="J120" s="114">
        <f t="shared" si="2"/>
        <v>225.09</v>
      </c>
    </row>
    <row r="121" spans="2:10" s="122" customFormat="1" ht="76.5" x14ac:dyDescent="0.25">
      <c r="B121" s="248" t="s">
        <v>337</v>
      </c>
      <c r="C121" s="221" t="s">
        <v>234</v>
      </c>
      <c r="D121" s="228" t="s">
        <v>235</v>
      </c>
      <c r="E121" s="219" t="s">
        <v>78</v>
      </c>
      <c r="F121" s="10">
        <v>1</v>
      </c>
      <c r="G121" s="10">
        <v>968.26</v>
      </c>
      <c r="H121" s="249">
        <f t="shared" si="15"/>
        <v>968.26</v>
      </c>
      <c r="I121" s="139">
        <v>766.21</v>
      </c>
      <c r="J121" s="114">
        <f t="shared" si="2"/>
        <v>968.26</v>
      </c>
    </row>
    <row r="122" spans="2:10" s="122" customFormat="1" ht="38.25" x14ac:dyDescent="0.25">
      <c r="B122" s="248" t="s">
        <v>338</v>
      </c>
      <c r="C122" s="221" t="s">
        <v>391</v>
      </c>
      <c r="D122" s="218" t="s">
        <v>401</v>
      </c>
      <c r="E122" s="219" t="s">
        <v>78</v>
      </c>
      <c r="F122" s="10">
        <v>25</v>
      </c>
      <c r="G122" s="10">
        <v>14.19</v>
      </c>
      <c r="H122" s="250">
        <f t="shared" si="15"/>
        <v>354.75</v>
      </c>
      <c r="I122" s="139">
        <v>11.23</v>
      </c>
      <c r="J122" s="114">
        <f t="shared" si="2"/>
        <v>14.19</v>
      </c>
    </row>
    <row r="123" spans="2:10" s="122" customFormat="1" ht="38.25" x14ac:dyDescent="0.25">
      <c r="B123" s="248" t="s">
        <v>339</v>
      </c>
      <c r="C123" s="221" t="s">
        <v>402</v>
      </c>
      <c r="D123" s="218" t="s">
        <v>403</v>
      </c>
      <c r="E123" s="219" t="s">
        <v>78</v>
      </c>
      <c r="F123" s="10">
        <v>8</v>
      </c>
      <c r="G123" s="10">
        <v>15.44</v>
      </c>
      <c r="H123" s="250">
        <f t="shared" si="15"/>
        <v>123.52</v>
      </c>
      <c r="I123" s="139">
        <v>12.22</v>
      </c>
      <c r="J123" s="114">
        <f t="shared" si="2"/>
        <v>15.44</v>
      </c>
    </row>
    <row r="124" spans="2:10" s="122" customFormat="1" ht="38.25" x14ac:dyDescent="0.25">
      <c r="B124" s="248" t="s">
        <v>340</v>
      </c>
      <c r="C124" s="221" t="s">
        <v>481</v>
      </c>
      <c r="D124" s="218" t="s">
        <v>482</v>
      </c>
      <c r="E124" s="219" t="s">
        <v>78</v>
      </c>
      <c r="F124" s="10">
        <v>1</v>
      </c>
      <c r="G124" s="10">
        <v>118.11</v>
      </c>
      <c r="H124" s="250">
        <f t="shared" si="15"/>
        <v>118.11</v>
      </c>
      <c r="I124" s="139">
        <v>93.46</v>
      </c>
      <c r="J124" s="114">
        <f t="shared" si="2"/>
        <v>118.11</v>
      </c>
    </row>
    <row r="125" spans="2:10" s="122" customFormat="1" ht="51" x14ac:dyDescent="0.25">
      <c r="B125" s="248" t="s">
        <v>341</v>
      </c>
      <c r="C125" s="221" t="s">
        <v>57</v>
      </c>
      <c r="D125" s="228" t="s">
        <v>55</v>
      </c>
      <c r="E125" s="219" t="s">
        <v>125</v>
      </c>
      <c r="F125" s="10">
        <v>700</v>
      </c>
      <c r="G125" s="225">
        <v>3.78</v>
      </c>
      <c r="H125" s="249">
        <f t="shared" si="15"/>
        <v>2646</v>
      </c>
      <c r="I125" s="139">
        <v>2.99</v>
      </c>
      <c r="J125" s="114">
        <f t="shared" si="2"/>
        <v>3.78</v>
      </c>
    </row>
    <row r="126" spans="2:10" s="122" customFormat="1" ht="38.25" x14ac:dyDescent="0.25">
      <c r="B126" s="248" t="s">
        <v>356</v>
      </c>
      <c r="C126" s="221" t="s">
        <v>58</v>
      </c>
      <c r="D126" s="228" t="s">
        <v>56</v>
      </c>
      <c r="E126" s="219" t="s">
        <v>125</v>
      </c>
      <c r="F126" s="10">
        <v>600</v>
      </c>
      <c r="G126" s="225">
        <v>6.2</v>
      </c>
      <c r="H126" s="249">
        <f t="shared" si="15"/>
        <v>3720</v>
      </c>
      <c r="I126" s="139">
        <v>4.91</v>
      </c>
      <c r="J126" s="114">
        <f t="shared" si="2"/>
        <v>6.2</v>
      </c>
    </row>
    <row r="127" spans="2:10" s="122" customFormat="1" ht="51" x14ac:dyDescent="0.25">
      <c r="B127" s="248" t="s">
        <v>357</v>
      </c>
      <c r="C127" s="221" t="s">
        <v>353</v>
      </c>
      <c r="D127" s="228" t="s">
        <v>354</v>
      </c>
      <c r="E127" s="219" t="s">
        <v>125</v>
      </c>
      <c r="F127" s="10">
        <v>400</v>
      </c>
      <c r="G127" s="10">
        <v>8.5299999999999994</v>
      </c>
      <c r="H127" s="249">
        <f t="shared" si="15"/>
        <v>3412</v>
      </c>
      <c r="I127" s="139">
        <v>6.75</v>
      </c>
      <c r="J127" s="114">
        <f t="shared" si="2"/>
        <v>8.5299999999999994</v>
      </c>
    </row>
    <row r="128" spans="2:10" s="122" customFormat="1" ht="51" x14ac:dyDescent="0.25">
      <c r="B128" s="248" t="s">
        <v>358</v>
      </c>
      <c r="C128" s="221" t="s">
        <v>404</v>
      </c>
      <c r="D128" s="228" t="s">
        <v>405</v>
      </c>
      <c r="E128" s="219" t="s">
        <v>125</v>
      </c>
      <c r="F128" s="10">
        <v>200</v>
      </c>
      <c r="G128" s="10">
        <v>14.06</v>
      </c>
      <c r="H128" s="249">
        <f t="shared" si="15"/>
        <v>2812</v>
      </c>
      <c r="I128" s="139">
        <v>11.13</v>
      </c>
      <c r="J128" s="114">
        <f t="shared" si="2"/>
        <v>14.06</v>
      </c>
    </row>
    <row r="129" spans="1:130" s="122" customFormat="1" ht="51" x14ac:dyDescent="0.25">
      <c r="B129" s="248" t="s">
        <v>359</v>
      </c>
      <c r="C129" s="218" t="s">
        <v>345</v>
      </c>
      <c r="D129" s="228" t="s">
        <v>346</v>
      </c>
      <c r="E129" s="219" t="s">
        <v>78</v>
      </c>
      <c r="F129" s="10">
        <v>20</v>
      </c>
      <c r="G129" s="225">
        <v>161.91999999999999</v>
      </c>
      <c r="H129" s="249">
        <f t="shared" ref="H129:H134" si="16">ROUND(G129*F129,2)</f>
        <v>3238.4</v>
      </c>
      <c r="I129" s="139">
        <v>128.13</v>
      </c>
      <c r="J129" s="114">
        <f t="shared" si="2"/>
        <v>161.91999999999999</v>
      </c>
    </row>
    <row r="130" spans="1:130" s="122" customFormat="1" ht="51" x14ac:dyDescent="0.25">
      <c r="B130" s="248" t="s">
        <v>360</v>
      </c>
      <c r="C130" s="218" t="s">
        <v>362</v>
      </c>
      <c r="D130" s="228" t="s">
        <v>386</v>
      </c>
      <c r="E130" s="219" t="s">
        <v>78</v>
      </c>
      <c r="F130" s="10">
        <v>20</v>
      </c>
      <c r="G130" s="225">
        <v>169.68</v>
      </c>
      <c r="H130" s="249">
        <f t="shared" si="16"/>
        <v>3393.6</v>
      </c>
      <c r="I130" s="139"/>
      <c r="J130" s="114"/>
    </row>
    <row r="131" spans="1:130" s="122" customFormat="1" ht="51" x14ac:dyDescent="0.25">
      <c r="B131" s="248" t="s">
        <v>392</v>
      </c>
      <c r="C131" s="218" t="s">
        <v>387</v>
      </c>
      <c r="D131" s="228" t="s">
        <v>388</v>
      </c>
      <c r="E131" s="219" t="s">
        <v>78</v>
      </c>
      <c r="F131" s="10">
        <v>40</v>
      </c>
      <c r="G131" s="225">
        <v>158.94</v>
      </c>
      <c r="H131" s="249">
        <f t="shared" si="16"/>
        <v>6357.6</v>
      </c>
      <c r="I131" s="139"/>
      <c r="J131" s="114"/>
    </row>
    <row r="132" spans="1:130" s="122" customFormat="1" ht="63.75" x14ac:dyDescent="0.25">
      <c r="B132" s="248" t="s">
        <v>393</v>
      </c>
      <c r="C132" s="221" t="s">
        <v>351</v>
      </c>
      <c r="D132" s="228" t="s">
        <v>352</v>
      </c>
      <c r="E132" s="219" t="s">
        <v>78</v>
      </c>
      <c r="F132" s="10">
        <v>20</v>
      </c>
      <c r="G132" s="225">
        <v>129.05000000000001</v>
      </c>
      <c r="H132" s="249">
        <f t="shared" si="16"/>
        <v>2581</v>
      </c>
      <c r="I132" s="139">
        <v>102.12</v>
      </c>
      <c r="J132" s="114">
        <f t="shared" si="2"/>
        <v>129.05000000000001</v>
      </c>
      <c r="K132" s="119"/>
    </row>
    <row r="133" spans="1:130" s="122" customFormat="1" ht="76.5" x14ac:dyDescent="0.25">
      <c r="B133" s="248" t="s">
        <v>394</v>
      </c>
      <c r="C133" s="221" t="s">
        <v>311</v>
      </c>
      <c r="D133" s="228" t="s">
        <v>312</v>
      </c>
      <c r="E133" s="219" t="s">
        <v>78</v>
      </c>
      <c r="F133" s="10">
        <v>40</v>
      </c>
      <c r="G133" s="225">
        <v>154.61000000000001</v>
      </c>
      <c r="H133" s="249">
        <f t="shared" si="16"/>
        <v>6184.4</v>
      </c>
      <c r="I133" s="139">
        <v>122.35</v>
      </c>
      <c r="J133" s="114">
        <f t="shared" si="2"/>
        <v>154.61000000000001</v>
      </c>
      <c r="K133" s="119"/>
    </row>
    <row r="134" spans="1:130" s="148" customFormat="1" ht="64.5" thickBot="1" x14ac:dyDescent="0.3">
      <c r="A134" s="122"/>
      <c r="B134" s="248" t="s">
        <v>395</v>
      </c>
      <c r="C134" s="221" t="s">
        <v>313</v>
      </c>
      <c r="D134" s="228" t="s">
        <v>314</v>
      </c>
      <c r="E134" s="219" t="s">
        <v>78</v>
      </c>
      <c r="F134" s="10">
        <v>10</v>
      </c>
      <c r="G134" s="225">
        <v>145.74</v>
      </c>
      <c r="H134" s="249">
        <f t="shared" si="16"/>
        <v>1457.4</v>
      </c>
      <c r="I134" s="147">
        <v>115.33</v>
      </c>
      <c r="J134" s="114">
        <f t="shared" si="2"/>
        <v>145.74</v>
      </c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2"/>
      <c r="DO134" s="122"/>
      <c r="DP134" s="122"/>
      <c r="DQ134" s="122"/>
      <c r="DR134" s="122"/>
      <c r="DS134" s="122"/>
      <c r="DT134" s="122"/>
      <c r="DU134" s="122"/>
      <c r="DV134" s="122"/>
      <c r="DW134" s="122"/>
      <c r="DX134" s="122"/>
      <c r="DY134" s="122"/>
      <c r="DZ134" s="122"/>
    </row>
    <row r="135" spans="1:130" s="122" customFormat="1" ht="38.25" x14ac:dyDescent="0.25">
      <c r="B135" s="248" t="s">
        <v>396</v>
      </c>
      <c r="C135" s="221" t="s">
        <v>244</v>
      </c>
      <c r="D135" s="228" t="s">
        <v>245</v>
      </c>
      <c r="E135" s="219" t="s">
        <v>78</v>
      </c>
      <c r="F135" s="10">
        <v>5</v>
      </c>
      <c r="G135" s="225">
        <v>294.23</v>
      </c>
      <c r="H135" s="249">
        <f t="shared" ref="H135:H140" si="17">ROUND(G135*F135,2)</f>
        <v>1471.15</v>
      </c>
      <c r="I135" s="147">
        <v>232.83</v>
      </c>
      <c r="J135" s="114">
        <f t="shared" si="2"/>
        <v>294.23</v>
      </c>
    </row>
    <row r="136" spans="1:130" s="122" customFormat="1" ht="38.25" x14ac:dyDescent="0.25">
      <c r="B136" s="248" t="s">
        <v>397</v>
      </c>
      <c r="C136" s="25" t="s">
        <v>412</v>
      </c>
      <c r="D136" s="24" t="s">
        <v>413</v>
      </c>
      <c r="E136" s="26" t="s">
        <v>125</v>
      </c>
      <c r="F136" s="10">
        <v>500</v>
      </c>
      <c r="G136" s="225">
        <v>19.57</v>
      </c>
      <c r="H136" s="249">
        <f t="shared" si="17"/>
        <v>9785</v>
      </c>
      <c r="I136" s="147">
        <v>15.49</v>
      </c>
      <c r="J136" s="114">
        <f t="shared" si="2"/>
        <v>19.57</v>
      </c>
    </row>
    <row r="137" spans="1:130" s="122" customFormat="1" ht="38.25" x14ac:dyDescent="0.25">
      <c r="B137" s="248" t="s">
        <v>398</v>
      </c>
      <c r="C137" s="25" t="s">
        <v>414</v>
      </c>
      <c r="D137" s="24" t="s">
        <v>415</v>
      </c>
      <c r="E137" s="26" t="s">
        <v>78</v>
      </c>
      <c r="F137" s="10">
        <v>50</v>
      </c>
      <c r="G137" s="225">
        <v>24.95</v>
      </c>
      <c r="H137" s="249">
        <f t="shared" si="17"/>
        <v>1247.5</v>
      </c>
      <c r="I137" s="147">
        <v>19.739999999999998</v>
      </c>
      <c r="J137" s="114">
        <f t="shared" si="2"/>
        <v>24.95</v>
      </c>
    </row>
    <row r="138" spans="1:130" s="122" customFormat="1" ht="38.25" x14ac:dyDescent="0.25">
      <c r="B138" s="248" t="s">
        <v>399</v>
      </c>
      <c r="C138" s="25" t="s">
        <v>416</v>
      </c>
      <c r="D138" s="24" t="s">
        <v>417</v>
      </c>
      <c r="E138" s="26" t="s">
        <v>78</v>
      </c>
      <c r="F138" s="10">
        <v>49</v>
      </c>
      <c r="G138" s="225">
        <v>15.63</v>
      </c>
      <c r="H138" s="249">
        <f t="shared" si="17"/>
        <v>765.87</v>
      </c>
      <c r="I138" s="147">
        <v>12.37</v>
      </c>
      <c r="J138" s="114">
        <f t="shared" si="2"/>
        <v>15.63</v>
      </c>
    </row>
    <row r="139" spans="1:130" s="122" customFormat="1" ht="38.25" x14ac:dyDescent="0.25">
      <c r="B139" s="248" t="s">
        <v>400</v>
      </c>
      <c r="C139" s="25" t="s">
        <v>418</v>
      </c>
      <c r="D139" s="24" t="s">
        <v>419</v>
      </c>
      <c r="E139" s="26" t="s">
        <v>125</v>
      </c>
      <c r="F139" s="10">
        <v>800</v>
      </c>
      <c r="G139" s="225">
        <v>11.77</v>
      </c>
      <c r="H139" s="249">
        <f t="shared" si="17"/>
        <v>9416</v>
      </c>
      <c r="I139" s="147">
        <v>9.31</v>
      </c>
      <c r="J139" s="114">
        <f t="shared" si="2"/>
        <v>11.77</v>
      </c>
    </row>
    <row r="140" spans="1:130" s="122" customFormat="1" ht="38.25" x14ac:dyDescent="0.25">
      <c r="B140" s="248" t="s">
        <v>480</v>
      </c>
      <c r="C140" s="221" t="s">
        <v>406</v>
      </c>
      <c r="D140" s="228" t="s">
        <v>407</v>
      </c>
      <c r="E140" s="219" t="s">
        <v>78</v>
      </c>
      <c r="F140" s="10">
        <v>70</v>
      </c>
      <c r="G140" s="225">
        <v>120.3</v>
      </c>
      <c r="H140" s="249">
        <f t="shared" si="17"/>
        <v>8421</v>
      </c>
      <c r="I140" s="147">
        <v>95.2</v>
      </c>
      <c r="J140" s="114">
        <f t="shared" si="2"/>
        <v>120.3</v>
      </c>
    </row>
    <row r="141" spans="1:130" s="122" customFormat="1" ht="12.75" x14ac:dyDescent="0.25">
      <c r="B141" s="232" t="s">
        <v>496</v>
      </c>
      <c r="C141" s="233"/>
      <c r="D141" s="234" t="s">
        <v>497</v>
      </c>
      <c r="E141" s="235" t="s">
        <v>9</v>
      </c>
      <c r="F141" s="6"/>
      <c r="G141" s="236"/>
      <c r="H141" s="111">
        <f>H142+H143</f>
        <v>5415.51</v>
      </c>
      <c r="I141" s="147"/>
      <c r="J141" s="114"/>
    </row>
    <row r="142" spans="1:130" s="122" customFormat="1" ht="25.5" x14ac:dyDescent="0.25">
      <c r="B142" s="248" t="s">
        <v>498</v>
      </c>
      <c r="C142" s="25" t="s">
        <v>499</v>
      </c>
      <c r="D142" s="24" t="s">
        <v>500</v>
      </c>
      <c r="E142" s="26" t="s">
        <v>123</v>
      </c>
      <c r="F142" s="10">
        <v>406.57</v>
      </c>
      <c r="G142" s="225">
        <v>11.69</v>
      </c>
      <c r="H142" s="249">
        <f t="shared" ref="H142:H143" si="18">ROUND(G142*F142,2)</f>
        <v>4752.8</v>
      </c>
      <c r="I142" s="147"/>
      <c r="J142" s="114"/>
    </row>
    <row r="143" spans="1:130" s="122" customFormat="1" ht="25.5" x14ac:dyDescent="0.25">
      <c r="B143" s="248" t="s">
        <v>501</v>
      </c>
      <c r="C143" s="25" t="s">
        <v>503</v>
      </c>
      <c r="D143" s="24" t="s">
        <v>502</v>
      </c>
      <c r="E143" s="26" t="s">
        <v>123</v>
      </c>
      <c r="F143" s="10">
        <v>406.57</v>
      </c>
      <c r="G143" s="225">
        <v>1.63</v>
      </c>
      <c r="H143" s="249">
        <f t="shared" si="18"/>
        <v>662.71</v>
      </c>
      <c r="I143" s="147"/>
      <c r="J143" s="114"/>
    </row>
    <row r="144" spans="1:130" s="122" customFormat="1" ht="13.5" thickBot="1" x14ac:dyDescent="0.3">
      <c r="B144" s="331" t="s">
        <v>41</v>
      </c>
      <c r="C144" s="332"/>
      <c r="D144" s="333"/>
      <c r="E144" s="1" t="s">
        <v>9</v>
      </c>
      <c r="F144" s="159"/>
      <c r="G144" s="29"/>
      <c r="H144" s="160">
        <f>SUM(H111+H77+H69+H57+H48+H41+H18+H31+H141+H15)</f>
        <v>525481.25</v>
      </c>
      <c r="I144" s="147"/>
      <c r="J144" s="114">
        <f t="shared" si="2"/>
        <v>0</v>
      </c>
    </row>
    <row r="145" spans="1:130" s="122" customFormat="1" ht="13.5" thickBot="1" x14ac:dyDescent="0.3">
      <c r="B145" s="322" t="s">
        <v>316</v>
      </c>
      <c r="C145" s="323"/>
      <c r="D145" s="323"/>
      <c r="E145" s="323"/>
      <c r="F145" s="323"/>
      <c r="G145" s="323"/>
      <c r="H145" s="324"/>
      <c r="I145" s="147"/>
      <c r="J145" s="114">
        <f t="shared" si="2"/>
        <v>0</v>
      </c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</row>
    <row r="146" spans="1:130" s="122" customFormat="1" ht="12.75" x14ac:dyDescent="0.25">
      <c r="B146" s="12"/>
      <c r="C146" s="12"/>
      <c r="D146" s="12"/>
      <c r="E146" s="12"/>
      <c r="F146" s="13"/>
      <c r="G146" s="13"/>
      <c r="H146" s="14"/>
      <c r="I146" s="147"/>
      <c r="J146" s="114">
        <f t="shared" si="2"/>
        <v>0</v>
      </c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</row>
    <row r="147" spans="1:130" s="122" customFormat="1" ht="12.75" x14ac:dyDescent="0.25">
      <c r="B147" s="12"/>
      <c r="C147" s="12"/>
      <c r="D147" s="12"/>
      <c r="E147" s="12"/>
      <c r="F147" s="13"/>
      <c r="G147" s="13"/>
      <c r="H147" s="14"/>
      <c r="I147" s="147"/>
      <c r="J147" s="114">
        <f t="shared" si="2"/>
        <v>0</v>
      </c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</row>
    <row r="148" spans="1:130" s="122" customFormat="1" ht="12.75" x14ac:dyDescent="0.25">
      <c r="B148" s="12"/>
      <c r="C148" s="12"/>
      <c r="D148" s="12"/>
      <c r="E148" s="12"/>
      <c r="F148" s="13"/>
      <c r="G148" s="13"/>
      <c r="H148" s="14"/>
      <c r="I148" s="139"/>
      <c r="J148" s="114">
        <f t="shared" si="2"/>
        <v>0</v>
      </c>
      <c r="K148" s="119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</row>
    <row r="149" spans="1:130" ht="12.75" x14ac:dyDescent="0.25">
      <c r="I149" s="139"/>
      <c r="J149" s="114">
        <f t="shared" si="2"/>
        <v>0</v>
      </c>
      <c r="K149" s="119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</row>
    <row r="150" spans="1:130" ht="12.75" x14ac:dyDescent="0.25">
      <c r="I150" s="147"/>
      <c r="J150" s="114">
        <f t="shared" si="2"/>
        <v>0</v>
      </c>
      <c r="K150" s="119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</row>
    <row r="151" spans="1:130" ht="12.75" x14ac:dyDescent="0.25">
      <c r="I151" s="139"/>
      <c r="J151" s="114">
        <f t="shared" si="2"/>
        <v>0</v>
      </c>
      <c r="K151" s="119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</row>
    <row r="152" spans="1:130" ht="12.75" x14ac:dyDescent="0.25">
      <c r="I152" s="147"/>
      <c r="J152" s="114">
        <f t="shared" si="2"/>
        <v>0</v>
      </c>
      <c r="K152" s="119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</row>
    <row r="153" spans="1:130" ht="12.75" x14ac:dyDescent="0.25">
      <c r="I153" s="139"/>
      <c r="J153" s="114">
        <f t="shared" ref="J153:J161" si="19">ROUND(I153*1.2637,2)</f>
        <v>0</v>
      </c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</row>
    <row r="154" spans="1:130" ht="13.5" thickBot="1" x14ac:dyDescent="0.3">
      <c r="I154" s="151"/>
      <c r="J154" s="114">
        <f t="shared" si="19"/>
        <v>0</v>
      </c>
      <c r="K154" s="119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  <c r="CM154" s="154"/>
      <c r="CN154" s="154"/>
      <c r="CO154" s="154"/>
      <c r="CP154" s="154"/>
      <c r="CQ154" s="154"/>
      <c r="CR154" s="154"/>
      <c r="CS154" s="154"/>
      <c r="CT154" s="154"/>
      <c r="CU154" s="154"/>
      <c r="CV154" s="154"/>
      <c r="CW154" s="154"/>
      <c r="CX154" s="154"/>
      <c r="CY154" s="154"/>
      <c r="CZ154" s="154"/>
      <c r="DA154" s="154"/>
      <c r="DB154" s="154"/>
      <c r="DC154" s="154"/>
      <c r="DD154" s="154"/>
      <c r="DE154" s="154"/>
      <c r="DF154" s="154"/>
      <c r="DG154" s="154"/>
      <c r="DH154" s="154"/>
      <c r="DI154" s="154"/>
      <c r="DJ154" s="154"/>
      <c r="DK154" s="154"/>
      <c r="DL154" s="154"/>
      <c r="DM154" s="154"/>
      <c r="DN154" s="154"/>
      <c r="DO154" s="154"/>
      <c r="DP154" s="154"/>
      <c r="DQ154" s="154"/>
      <c r="DR154" s="154"/>
      <c r="DS154" s="154"/>
      <c r="DT154" s="154"/>
      <c r="DU154" s="154"/>
      <c r="DV154" s="154"/>
      <c r="DW154" s="154"/>
      <c r="DX154" s="154"/>
      <c r="DY154" s="154"/>
      <c r="DZ154" s="154"/>
    </row>
    <row r="155" spans="1:130" ht="12.75" x14ac:dyDescent="0.25">
      <c r="I155" s="151"/>
      <c r="J155" s="114">
        <f t="shared" si="19"/>
        <v>0</v>
      </c>
      <c r="K155" s="119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</row>
    <row r="156" spans="1:130" ht="12.75" x14ac:dyDescent="0.25">
      <c r="I156" s="151"/>
      <c r="J156" s="114">
        <f t="shared" si="19"/>
        <v>0</v>
      </c>
      <c r="K156" s="119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</row>
    <row r="157" spans="1:130" ht="12.75" x14ac:dyDescent="0.25">
      <c r="I157" s="151"/>
      <c r="J157" s="114">
        <f t="shared" si="19"/>
        <v>0</v>
      </c>
      <c r="K157" s="119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</row>
    <row r="158" spans="1:130" s="154" customFormat="1" ht="13.5" thickBot="1" x14ac:dyDescent="0.3">
      <c r="A158" s="152"/>
      <c r="B158" s="12"/>
      <c r="C158" s="12"/>
      <c r="D158" s="12"/>
      <c r="E158" s="12"/>
      <c r="F158" s="13"/>
      <c r="G158" s="13"/>
      <c r="H158" s="14"/>
      <c r="I158" s="153"/>
      <c r="J158" s="114">
        <f t="shared" si="19"/>
        <v>0</v>
      </c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</row>
    <row r="159" spans="1:130" ht="12.75" x14ac:dyDescent="0.25">
      <c r="I159" s="155"/>
      <c r="J159" s="114">
        <f t="shared" si="19"/>
        <v>0</v>
      </c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</row>
    <row r="160" spans="1:130" ht="12.75" x14ac:dyDescent="0.25">
      <c r="I160" s="155"/>
      <c r="J160" s="114">
        <f t="shared" si="19"/>
        <v>0</v>
      </c>
      <c r="K160" s="119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</row>
    <row r="161" spans="1:130" ht="12.75" x14ac:dyDescent="0.25">
      <c r="I161" s="155"/>
      <c r="J161" s="114">
        <f t="shared" si="19"/>
        <v>0</v>
      </c>
      <c r="K161" s="119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</row>
    <row r="162" spans="1:130" ht="12.75" x14ac:dyDescent="0.25">
      <c r="I162" s="147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</row>
    <row r="163" spans="1:130" ht="12.75" x14ac:dyDescent="0.25">
      <c r="I163" s="147"/>
      <c r="J163" s="122"/>
      <c r="K163" s="119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</row>
    <row r="164" spans="1:130" ht="19.5" customHeight="1" x14ac:dyDescent="0.25">
      <c r="I164" s="147"/>
      <c r="J164" s="122"/>
      <c r="K164" s="119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  <c r="DK164" s="121"/>
      <c r="DL164" s="121"/>
      <c r="DM164" s="121"/>
      <c r="DN164" s="121"/>
      <c r="DO164" s="121"/>
      <c r="DP164" s="121"/>
      <c r="DQ164" s="121"/>
      <c r="DR164" s="121"/>
      <c r="DS164" s="121"/>
      <c r="DT164" s="121"/>
      <c r="DU164" s="121"/>
      <c r="DV164" s="121"/>
      <c r="DW164" s="121"/>
      <c r="DX164" s="121"/>
      <c r="DY164" s="121"/>
      <c r="DZ164" s="121"/>
    </row>
    <row r="165" spans="1:130" ht="12.75" x14ac:dyDescent="0.25">
      <c r="I165" s="147"/>
      <c r="J165" s="122"/>
      <c r="K165" s="119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  <c r="DK165" s="121"/>
      <c r="DL165" s="121"/>
      <c r="DM165" s="121"/>
      <c r="DN165" s="121"/>
      <c r="DO165" s="121"/>
      <c r="DP165" s="121"/>
      <c r="DQ165" s="121"/>
      <c r="DR165" s="121"/>
      <c r="DS165" s="121"/>
      <c r="DT165" s="121"/>
      <c r="DU165" s="121"/>
      <c r="DV165" s="121"/>
      <c r="DW165" s="121"/>
      <c r="DX165" s="121"/>
      <c r="DY165" s="121"/>
      <c r="DZ165" s="121"/>
    </row>
    <row r="166" spans="1:130" ht="12.75" x14ac:dyDescent="0.25">
      <c r="I166" s="147"/>
      <c r="J166" s="122"/>
      <c r="K166" s="119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  <c r="DK166" s="121"/>
      <c r="DL166" s="121"/>
      <c r="DM166" s="121"/>
      <c r="DN166" s="121"/>
      <c r="DO166" s="121"/>
      <c r="DP166" s="121"/>
      <c r="DQ166" s="121"/>
      <c r="DR166" s="121"/>
      <c r="DS166" s="121"/>
      <c r="DT166" s="121"/>
      <c r="DU166" s="121"/>
      <c r="DV166" s="121"/>
      <c r="DW166" s="121"/>
      <c r="DX166" s="121"/>
      <c r="DY166" s="121"/>
      <c r="DZ166" s="121"/>
    </row>
    <row r="167" spans="1:130" ht="12.75" x14ac:dyDescent="0.25">
      <c r="A167" s="137"/>
      <c r="I167" s="147"/>
      <c r="J167" s="122"/>
      <c r="K167" s="119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</row>
    <row r="168" spans="1:130" s="121" customFormat="1" ht="15" x14ac:dyDescent="0.25">
      <c r="A168" s="118"/>
      <c r="B168" s="12"/>
      <c r="C168" s="12"/>
      <c r="D168" s="12"/>
      <c r="E168" s="12"/>
      <c r="F168" s="13"/>
      <c r="G168" s="13"/>
      <c r="H168" s="14"/>
      <c r="I168" s="156"/>
      <c r="J168" s="118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</row>
    <row r="169" spans="1:130" s="121" customFormat="1" ht="12.75" x14ac:dyDescent="0.25">
      <c r="A169" s="118"/>
      <c r="B169" s="12"/>
      <c r="C169" s="12"/>
      <c r="D169" s="12"/>
      <c r="E169" s="12"/>
      <c r="F169" s="13"/>
      <c r="G169" s="13"/>
      <c r="H169" s="14"/>
      <c r="I169" s="147"/>
      <c r="J169" s="118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</row>
    <row r="170" spans="1:130" s="121" customFormat="1" ht="12.75" x14ac:dyDescent="0.25">
      <c r="A170" s="118"/>
      <c r="B170" s="12"/>
      <c r="C170" s="12"/>
      <c r="D170" s="12"/>
      <c r="E170" s="12"/>
      <c r="F170" s="13"/>
      <c r="G170" s="13"/>
      <c r="H170" s="14"/>
      <c r="I170" s="147"/>
      <c r="J170" s="118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</row>
    <row r="171" spans="1:130" ht="12.75" x14ac:dyDescent="0.25">
      <c r="A171" s="137"/>
      <c r="I171" s="157"/>
      <c r="J171" s="122"/>
      <c r="K171" s="119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</row>
    <row r="172" spans="1:130" ht="15.75" thickBot="1" x14ac:dyDescent="0.3">
      <c r="I172" s="157"/>
      <c r="J172" s="119"/>
      <c r="K172" s="119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61"/>
      <c r="BA172" s="162"/>
      <c r="BB172" s="162"/>
      <c r="BC172" s="162"/>
      <c r="BD172" s="162"/>
      <c r="BE172" s="162"/>
      <c r="BF172" s="162"/>
      <c r="BG172" s="162"/>
      <c r="BH172" s="162"/>
      <c r="BI172" s="162"/>
      <c r="BJ172" s="162"/>
      <c r="BK172" s="162"/>
      <c r="BL172" s="162"/>
      <c r="BM172" s="162"/>
      <c r="BN172" s="162"/>
      <c r="BO172" s="162"/>
      <c r="BP172" s="162"/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2"/>
      <c r="CE172" s="162"/>
      <c r="CF172" s="162"/>
      <c r="CG172" s="162"/>
      <c r="CH172" s="162"/>
      <c r="CI172" s="162"/>
      <c r="CJ172" s="162"/>
      <c r="CK172" s="162"/>
      <c r="CL172" s="162"/>
      <c r="CM172" s="162"/>
      <c r="CN172" s="162"/>
      <c r="CO172" s="162"/>
      <c r="CP172" s="162"/>
      <c r="CQ172" s="162"/>
      <c r="CR172" s="162"/>
      <c r="CS172" s="162"/>
      <c r="CT172" s="162"/>
      <c r="CU172" s="162"/>
      <c r="CV172" s="162"/>
      <c r="CW172" s="162"/>
      <c r="CX172" s="162"/>
      <c r="CY172" s="162"/>
      <c r="CZ172" s="162"/>
      <c r="DA172" s="162"/>
      <c r="DB172" s="162"/>
      <c r="DC172" s="162"/>
      <c r="DD172" s="162"/>
      <c r="DE172" s="162"/>
      <c r="DF172" s="162"/>
      <c r="DG172" s="162"/>
      <c r="DH172" s="162"/>
      <c r="DI172" s="162"/>
      <c r="DJ172" s="162"/>
      <c r="DK172" s="162"/>
      <c r="DL172" s="162"/>
      <c r="DM172" s="162"/>
      <c r="DN172" s="162"/>
      <c r="DO172" s="162"/>
      <c r="DP172" s="162"/>
      <c r="DQ172" s="162"/>
      <c r="DR172" s="162"/>
      <c r="DS172" s="162"/>
      <c r="DT172" s="162"/>
      <c r="DU172" s="162"/>
      <c r="DV172" s="162"/>
      <c r="DW172" s="162"/>
      <c r="DX172" s="162"/>
      <c r="DY172" s="162"/>
      <c r="DZ172" s="162"/>
    </row>
    <row r="173" spans="1:130" ht="12.75" x14ac:dyDescent="0.25">
      <c r="I173" s="157"/>
      <c r="J173" s="122"/>
      <c r="K173" s="119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</row>
    <row r="174" spans="1:130" ht="43.5" customHeight="1" x14ac:dyDescent="0.25">
      <c r="I174" s="157"/>
      <c r="J174" s="122"/>
      <c r="K174" s="119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</row>
    <row r="175" spans="1:130" ht="12.75" x14ac:dyDescent="0.25">
      <c r="I175" s="157"/>
      <c r="J175" s="122"/>
      <c r="K175" s="119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</row>
    <row r="176" spans="1:130" s="162" customFormat="1" ht="15.75" thickBot="1" x14ac:dyDescent="0.3">
      <c r="A176" s="158"/>
      <c r="B176" s="12"/>
      <c r="C176" s="12"/>
      <c r="D176" s="12"/>
      <c r="E176" s="12"/>
      <c r="F176" s="13"/>
      <c r="G176" s="13"/>
      <c r="H176" s="14"/>
      <c r="I176" s="161"/>
      <c r="J176" s="161"/>
      <c r="K176" s="161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</row>
    <row r="177" spans="1:52" x14ac:dyDescent="0.25">
      <c r="A177" s="15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</row>
    <row r="178" spans="1:52" x14ac:dyDescent="0.25"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</row>
    <row r="179" spans="1:52" x14ac:dyDescent="0.25"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</row>
    <row r="180" spans="1:52" x14ac:dyDescent="0.25"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</row>
    <row r="181" spans="1:52" x14ac:dyDescent="0.25"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</row>
    <row r="182" spans="1:52" x14ac:dyDescent="0.25"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</row>
    <row r="183" spans="1:52" x14ac:dyDescent="0.25"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</row>
    <row r="184" spans="1:52" x14ac:dyDescent="0.25"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</row>
    <row r="185" spans="1:52" x14ac:dyDescent="0.25"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</row>
    <row r="186" spans="1:52" x14ac:dyDescent="0.25"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</row>
    <row r="187" spans="1:52" x14ac:dyDescent="0.25"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</row>
    <row r="188" spans="1:52" x14ac:dyDescent="0.25"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</row>
    <row r="189" spans="1:52" x14ac:dyDescent="0.25"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</row>
    <row r="190" spans="1:52" x14ac:dyDescent="0.25"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</row>
    <row r="191" spans="1:52" x14ac:dyDescent="0.25"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</row>
    <row r="192" spans="1:52" x14ac:dyDescent="0.25"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</row>
    <row r="193" spans="11:52" x14ac:dyDescent="0.25"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</row>
    <row r="194" spans="11:52" x14ac:dyDescent="0.25"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</row>
    <row r="195" spans="11:52" x14ac:dyDescent="0.25"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</row>
    <row r="196" spans="11:52" x14ac:dyDescent="0.25"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</row>
    <row r="197" spans="11:52" x14ac:dyDescent="0.25"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</row>
    <row r="198" spans="11:52" x14ac:dyDescent="0.25"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</row>
  </sheetData>
  <mergeCells count="10">
    <mergeCell ref="D2:H4"/>
    <mergeCell ref="B2:C6"/>
    <mergeCell ref="B145:H145"/>
    <mergeCell ref="B12:H12"/>
    <mergeCell ref="B11:H11"/>
    <mergeCell ref="B144:D144"/>
    <mergeCell ref="B7:H7"/>
    <mergeCell ref="B10:H10"/>
    <mergeCell ref="B8:H8"/>
    <mergeCell ref="B9:H9"/>
  </mergeCells>
  <pageMargins left="0.51181102362204722" right="0.51181102362204722" top="0.78740157480314965" bottom="0.78740157480314965" header="0.31496062992125984" footer="0.31496062992125984"/>
  <pageSetup paperSize="9" scale="88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topLeftCell="A86" zoomScale="70" zoomScaleNormal="70" workbookViewId="0">
      <selection activeCell="C99" sqref="C99"/>
    </sheetView>
  </sheetViews>
  <sheetFormatPr defaultRowHeight="15" x14ac:dyDescent="0.25"/>
  <cols>
    <col min="2" max="2" width="21.140625" bestFit="1" customWidth="1"/>
    <col min="3" max="3" width="33.85546875" customWidth="1"/>
    <col min="4" max="4" width="10.5703125" customWidth="1"/>
    <col min="5" max="5" width="13.42578125" customWidth="1"/>
    <col min="6" max="6" width="14" customWidth="1"/>
    <col min="7" max="7" width="23.140625" customWidth="1"/>
    <col min="12" max="12" width="49.7109375" customWidth="1"/>
  </cols>
  <sheetData>
    <row r="1" spans="1:9" ht="15.75" x14ac:dyDescent="0.25">
      <c r="A1" s="34"/>
      <c r="B1" s="35"/>
      <c r="C1" s="349" t="s">
        <v>0</v>
      </c>
      <c r="D1" s="349"/>
      <c r="E1" s="349"/>
      <c r="F1" s="349"/>
      <c r="G1" s="350"/>
      <c r="H1" s="36"/>
      <c r="I1" s="36"/>
    </row>
    <row r="2" spans="1:9" ht="15.75" x14ac:dyDescent="0.25">
      <c r="A2" s="34"/>
      <c r="B2" s="37"/>
      <c r="C2" s="351" t="s">
        <v>75</v>
      </c>
      <c r="D2" s="351"/>
      <c r="E2" s="351"/>
      <c r="F2" s="351"/>
      <c r="G2" s="352"/>
      <c r="H2" s="38"/>
      <c r="I2" s="38"/>
    </row>
    <row r="3" spans="1:9" ht="15.75" x14ac:dyDescent="0.25">
      <c r="A3" s="34"/>
      <c r="B3" s="37"/>
      <c r="C3" s="353" t="str">
        <f>Orçamento!B8</f>
        <v xml:space="preserve">OBJETO: CONSTRUÇÃO E REFORMA DO PSF DE BARRA DE CATUAMA   </v>
      </c>
      <c r="D3" s="353"/>
      <c r="E3" s="353"/>
      <c r="F3" s="353"/>
      <c r="G3" s="354"/>
      <c r="H3" s="39"/>
      <c r="I3" s="39"/>
    </row>
    <row r="4" spans="1:9" ht="15.75" x14ac:dyDescent="0.25">
      <c r="A4" s="34"/>
      <c r="B4" s="37"/>
      <c r="C4" s="355" t="str">
        <f>Orçamento!B9</f>
        <v>LOCAL: BARRA DE CATUAMA, GOIANA/PE</v>
      </c>
      <c r="D4" s="355"/>
      <c r="E4" s="355"/>
      <c r="F4" s="355"/>
      <c r="G4" s="356"/>
      <c r="H4" s="39"/>
      <c r="I4" s="39"/>
    </row>
    <row r="5" spans="1:9" ht="15.75" x14ac:dyDescent="0.25">
      <c r="A5" s="34"/>
      <c r="B5" s="37"/>
      <c r="C5" s="355" t="str">
        <f>Orçamento!B10</f>
        <v>DATA: OUTUBRO 2019</v>
      </c>
      <c r="D5" s="355"/>
      <c r="E5" s="355"/>
      <c r="F5" s="355"/>
      <c r="G5" s="356"/>
      <c r="H5" s="39"/>
      <c r="I5" s="39"/>
    </row>
    <row r="6" spans="1:9" ht="15.75" x14ac:dyDescent="0.25">
      <c r="A6" s="34"/>
      <c r="B6" s="40"/>
      <c r="C6" s="344"/>
      <c r="D6" s="344"/>
      <c r="E6" s="344"/>
      <c r="F6" s="344"/>
      <c r="G6" s="345"/>
      <c r="H6" s="41"/>
      <c r="I6" s="41"/>
    </row>
    <row r="7" spans="1:9" ht="15.75" x14ac:dyDescent="0.25">
      <c r="A7" s="34"/>
      <c r="B7" s="346" t="s">
        <v>76</v>
      </c>
      <c r="C7" s="347"/>
      <c r="D7" s="347"/>
      <c r="E7" s="347"/>
      <c r="F7" s="347"/>
      <c r="G7" s="348"/>
      <c r="H7" s="178"/>
      <c r="I7" s="178"/>
    </row>
    <row r="8" spans="1:9" ht="60" x14ac:dyDescent="0.25">
      <c r="B8" s="48" t="s">
        <v>77</v>
      </c>
      <c r="C8" s="177" t="s">
        <v>88</v>
      </c>
      <c r="D8" s="49" t="s">
        <v>78</v>
      </c>
      <c r="E8" s="44" t="s">
        <v>135</v>
      </c>
      <c r="F8" s="44" t="s">
        <v>383</v>
      </c>
      <c r="G8" s="44" t="s">
        <v>116</v>
      </c>
      <c r="H8" s="142"/>
      <c r="I8" s="142"/>
    </row>
    <row r="9" spans="1:9" ht="42.75" x14ac:dyDescent="0.25">
      <c r="B9" s="176" t="s">
        <v>128</v>
      </c>
      <c r="C9" s="176" t="s">
        <v>89</v>
      </c>
      <c r="D9" s="176" t="s">
        <v>80</v>
      </c>
      <c r="E9" s="45">
        <v>8</v>
      </c>
      <c r="F9" s="45">
        <v>19.309999999999999</v>
      </c>
      <c r="G9" s="45">
        <f>F9*E9</f>
        <v>154.47999999999999</v>
      </c>
      <c r="H9" s="142"/>
      <c r="I9" s="142"/>
    </row>
    <row r="10" spans="1:9" ht="44.25" customHeight="1" x14ac:dyDescent="0.25">
      <c r="B10" s="176" t="s">
        <v>129</v>
      </c>
      <c r="C10" s="176" t="s">
        <v>90</v>
      </c>
      <c r="D10" s="176" t="s">
        <v>80</v>
      </c>
      <c r="E10" s="45">
        <v>8</v>
      </c>
      <c r="F10" s="45">
        <v>14.98</v>
      </c>
      <c r="G10" s="45">
        <f>F10*E10</f>
        <v>119.84</v>
      </c>
      <c r="H10" s="142"/>
      <c r="I10" s="142"/>
    </row>
    <row r="11" spans="1:9" x14ac:dyDescent="0.25">
      <c r="B11" s="46"/>
      <c r="C11" s="46"/>
      <c r="D11" s="343" t="s">
        <v>82</v>
      </c>
      <c r="E11" s="343"/>
      <c r="F11" s="45"/>
      <c r="G11" s="45">
        <v>0</v>
      </c>
      <c r="H11" s="142"/>
      <c r="I11" s="142"/>
    </row>
    <row r="12" spans="1:9" x14ac:dyDescent="0.25">
      <c r="B12" s="46"/>
      <c r="C12" s="46"/>
      <c r="D12" s="340" t="s">
        <v>83</v>
      </c>
      <c r="E12" s="340"/>
      <c r="F12" s="45"/>
      <c r="G12" s="45">
        <v>0</v>
      </c>
      <c r="H12" s="142"/>
      <c r="I12" s="142"/>
    </row>
    <row r="13" spans="1:9" x14ac:dyDescent="0.25">
      <c r="B13" s="46"/>
      <c r="C13" s="46"/>
      <c r="D13" s="340" t="s">
        <v>84</v>
      </c>
      <c r="E13" s="340"/>
      <c r="F13" s="45"/>
      <c r="G13" s="45">
        <v>0</v>
      </c>
      <c r="H13" s="142"/>
      <c r="I13" s="142"/>
    </row>
    <row r="14" spans="1:9" x14ac:dyDescent="0.25">
      <c r="B14" s="46"/>
      <c r="C14" s="46"/>
      <c r="D14" s="340" t="s">
        <v>85</v>
      </c>
      <c r="E14" s="340"/>
      <c r="F14" s="45"/>
      <c r="G14" s="45">
        <f>SUM(G9:G10)</f>
        <v>274.32</v>
      </c>
      <c r="H14" s="142"/>
      <c r="I14" s="142"/>
    </row>
    <row r="15" spans="1:9" ht="15.75" x14ac:dyDescent="0.25">
      <c r="B15" s="50"/>
      <c r="C15" s="38"/>
      <c r="D15" s="357" t="s">
        <v>86</v>
      </c>
      <c r="E15" s="358"/>
      <c r="F15" s="51"/>
      <c r="G15" s="52">
        <f>SUM(G14)</f>
        <v>274.32</v>
      </c>
      <c r="H15" s="142"/>
      <c r="I15" s="142"/>
    </row>
    <row r="16" spans="1:9" x14ac:dyDescent="0.25">
      <c r="B16" s="142"/>
      <c r="C16" s="142"/>
      <c r="D16" s="342" t="s">
        <v>87</v>
      </c>
      <c r="E16" s="342"/>
      <c r="F16" s="179"/>
      <c r="G16" s="180">
        <f>ROUND(G15*1.2637,2)</f>
        <v>346.66</v>
      </c>
      <c r="H16" s="142"/>
      <c r="I16" s="142"/>
    </row>
    <row r="17" spans="2:9" x14ac:dyDescent="0.25">
      <c r="B17" s="142"/>
      <c r="C17" s="142"/>
      <c r="D17" s="142"/>
      <c r="E17" s="142"/>
      <c r="F17" s="142"/>
      <c r="G17" s="142"/>
      <c r="H17" s="142"/>
      <c r="I17" s="142"/>
    </row>
    <row r="18" spans="2:9" ht="30" x14ac:dyDescent="0.25">
      <c r="B18" s="43" t="s">
        <v>112</v>
      </c>
      <c r="C18" s="181" t="s">
        <v>91</v>
      </c>
      <c r="D18" s="43" t="s">
        <v>92</v>
      </c>
      <c r="E18" s="44" t="s">
        <v>135</v>
      </c>
      <c r="F18" s="44" t="s">
        <v>383</v>
      </c>
      <c r="G18" s="44" t="s">
        <v>116</v>
      </c>
      <c r="H18" s="142"/>
      <c r="I18" s="142"/>
    </row>
    <row r="19" spans="2:9" ht="28.5" x14ac:dyDescent="0.25">
      <c r="B19" s="176" t="s">
        <v>126</v>
      </c>
      <c r="C19" s="182" t="s">
        <v>79</v>
      </c>
      <c r="D19" s="176" t="s">
        <v>80</v>
      </c>
      <c r="E19" s="45">
        <v>8</v>
      </c>
      <c r="F19" s="45">
        <v>19.53</v>
      </c>
      <c r="G19" s="45">
        <f>F19*E19</f>
        <v>156.24</v>
      </c>
      <c r="H19" s="142"/>
      <c r="I19" s="142"/>
    </row>
    <row r="20" spans="2:9" ht="42.75" x14ac:dyDescent="0.25">
      <c r="B20" s="176" t="s">
        <v>127</v>
      </c>
      <c r="C20" s="176" t="s">
        <v>81</v>
      </c>
      <c r="D20" s="176" t="s">
        <v>80</v>
      </c>
      <c r="E20" s="45">
        <v>8</v>
      </c>
      <c r="F20" s="45">
        <v>15.05</v>
      </c>
      <c r="G20" s="45">
        <f>F20*E20</f>
        <v>120.4</v>
      </c>
      <c r="H20" s="142"/>
      <c r="I20" s="142"/>
    </row>
    <row r="21" spans="2:9" x14ac:dyDescent="0.25">
      <c r="B21" s="46"/>
      <c r="C21" s="46"/>
      <c r="D21" s="343" t="s">
        <v>82</v>
      </c>
      <c r="E21" s="343"/>
      <c r="F21" s="45"/>
      <c r="G21" s="45">
        <v>0</v>
      </c>
      <c r="H21" s="142"/>
      <c r="I21" s="142"/>
    </row>
    <row r="22" spans="2:9" x14ac:dyDescent="0.25">
      <c r="B22" s="46"/>
      <c r="C22" s="46"/>
      <c r="D22" s="340" t="s">
        <v>83</v>
      </c>
      <c r="E22" s="340"/>
      <c r="F22" s="45"/>
      <c r="G22" s="45">
        <v>0</v>
      </c>
      <c r="H22" s="142"/>
      <c r="I22" s="142"/>
    </row>
    <row r="23" spans="2:9" x14ac:dyDescent="0.25">
      <c r="B23" s="46"/>
      <c r="C23" s="46"/>
      <c r="D23" s="340" t="s">
        <v>84</v>
      </c>
      <c r="E23" s="340"/>
      <c r="F23" s="45"/>
      <c r="G23" s="45">
        <v>0</v>
      </c>
      <c r="H23" s="142"/>
      <c r="I23" s="142"/>
    </row>
    <row r="24" spans="2:9" x14ac:dyDescent="0.25">
      <c r="B24" s="46"/>
      <c r="C24" s="46"/>
      <c r="D24" s="340" t="s">
        <v>85</v>
      </c>
      <c r="E24" s="340"/>
      <c r="F24" s="45"/>
      <c r="G24" s="45">
        <f>SUM(G19:G20)</f>
        <v>276.64</v>
      </c>
      <c r="H24" s="142"/>
      <c r="I24" s="142"/>
    </row>
    <row r="25" spans="2:9" x14ac:dyDescent="0.25">
      <c r="B25" s="46"/>
      <c r="C25" s="46"/>
      <c r="D25" s="341" t="s">
        <v>86</v>
      </c>
      <c r="E25" s="341"/>
      <c r="F25" s="45"/>
      <c r="G25" s="47">
        <f>SUM(G21:G24)</f>
        <v>276.64</v>
      </c>
      <c r="H25" s="142"/>
      <c r="I25" s="142"/>
    </row>
    <row r="26" spans="2:9" x14ac:dyDescent="0.25">
      <c r="B26" s="46"/>
      <c r="C26" s="46"/>
      <c r="D26" s="342" t="s">
        <v>87</v>
      </c>
      <c r="E26" s="342"/>
      <c r="F26" s="179"/>
      <c r="G26" s="180">
        <f>ROUND(G25*1.2637,2)</f>
        <v>349.59</v>
      </c>
      <c r="H26" s="142"/>
      <c r="I26" s="142"/>
    </row>
    <row r="27" spans="2:9" x14ac:dyDescent="0.25">
      <c r="B27" s="142"/>
      <c r="C27" s="142"/>
      <c r="D27" s="142"/>
      <c r="E27" s="142"/>
      <c r="F27" s="142"/>
      <c r="G27" s="142"/>
      <c r="H27" s="142"/>
      <c r="I27" s="142"/>
    </row>
    <row r="28" spans="2:9" x14ac:dyDescent="0.25">
      <c r="B28" s="142"/>
      <c r="C28" s="142"/>
      <c r="D28" s="142"/>
      <c r="E28" s="142"/>
      <c r="F28" s="142"/>
      <c r="G28" s="142"/>
      <c r="H28" s="142"/>
      <c r="I28" s="142"/>
    </row>
    <row r="29" spans="2:9" ht="33" customHeight="1" x14ac:dyDescent="0.25">
      <c r="B29" s="43" t="s">
        <v>272</v>
      </c>
      <c r="C29" s="181" t="s">
        <v>273</v>
      </c>
      <c r="D29" s="43" t="s">
        <v>92</v>
      </c>
      <c r="E29" s="44" t="s">
        <v>135</v>
      </c>
      <c r="F29" s="44" t="s">
        <v>383</v>
      </c>
      <c r="G29" s="44" t="s">
        <v>116</v>
      </c>
      <c r="H29" s="142"/>
      <c r="I29" s="142"/>
    </row>
    <row r="30" spans="2:9" x14ac:dyDescent="0.25">
      <c r="B30" s="215" t="s">
        <v>274</v>
      </c>
      <c r="C30" s="182" t="s">
        <v>275</v>
      </c>
      <c r="D30" s="214" t="s">
        <v>123</v>
      </c>
      <c r="E30" s="45">
        <v>19.03</v>
      </c>
      <c r="F30" s="45">
        <v>73.400000000000006</v>
      </c>
      <c r="G30" s="45">
        <f>ROUND(E30*F30,2)</f>
        <v>1396.8</v>
      </c>
      <c r="H30" s="142"/>
      <c r="I30" s="142"/>
    </row>
    <row r="31" spans="2:9" ht="28.5" x14ac:dyDescent="0.25">
      <c r="B31" s="215" t="s">
        <v>276</v>
      </c>
      <c r="C31" s="214" t="s">
        <v>277</v>
      </c>
      <c r="D31" s="214" t="s">
        <v>123</v>
      </c>
      <c r="E31" s="45">
        <v>29.72</v>
      </c>
      <c r="F31" s="45">
        <v>57.92</v>
      </c>
      <c r="G31" s="45">
        <f>ROUND(E31*F31,2)</f>
        <v>1721.38</v>
      </c>
      <c r="H31" s="142"/>
      <c r="I31" s="142"/>
    </row>
    <row r="32" spans="2:9" x14ac:dyDescent="0.25">
      <c r="B32" s="215" t="s">
        <v>278</v>
      </c>
      <c r="C32" s="214" t="s">
        <v>279</v>
      </c>
      <c r="D32" s="214" t="s">
        <v>125</v>
      </c>
      <c r="E32" s="45">
        <v>29.61</v>
      </c>
      <c r="F32" s="45">
        <v>64.45</v>
      </c>
      <c r="G32" s="45">
        <f>ROUND(E32*F32,2)</f>
        <v>1908.36</v>
      </c>
      <c r="H32" s="142"/>
      <c r="I32" s="142"/>
    </row>
    <row r="33" spans="2:12" ht="57" x14ac:dyDescent="0.25">
      <c r="B33" s="215" t="s">
        <v>437</v>
      </c>
      <c r="C33" s="247" t="s">
        <v>438</v>
      </c>
      <c r="D33" s="247" t="s">
        <v>123</v>
      </c>
      <c r="E33" s="45">
        <v>1.68</v>
      </c>
      <c r="F33" s="45">
        <v>137.18</v>
      </c>
      <c r="G33" s="45">
        <f>ROUND(E33*F33,2)</f>
        <v>230.46</v>
      </c>
      <c r="H33" s="142"/>
      <c r="I33" s="142"/>
      <c r="L33" s="106"/>
    </row>
    <row r="34" spans="2:12" x14ac:dyDescent="0.25">
      <c r="B34" s="142"/>
      <c r="C34" s="142"/>
      <c r="D34" s="343" t="s">
        <v>82</v>
      </c>
      <c r="E34" s="343"/>
      <c r="F34" s="45"/>
      <c r="G34" s="45">
        <f>K34</f>
        <v>0</v>
      </c>
      <c r="H34" s="142"/>
      <c r="I34" s="142"/>
    </row>
    <row r="35" spans="2:12" x14ac:dyDescent="0.25">
      <c r="B35" s="142"/>
      <c r="C35" s="142"/>
      <c r="D35" s="340" t="s">
        <v>83</v>
      </c>
      <c r="E35" s="340"/>
      <c r="F35" s="45"/>
      <c r="G35" s="45">
        <f>K35</f>
        <v>0</v>
      </c>
      <c r="H35" s="142"/>
      <c r="I35" s="142"/>
    </row>
    <row r="36" spans="2:12" x14ac:dyDescent="0.25">
      <c r="B36" s="142"/>
      <c r="C36" s="142"/>
      <c r="D36" s="340" t="s">
        <v>84</v>
      </c>
      <c r="E36" s="340"/>
      <c r="F36" s="45"/>
      <c r="G36" s="45">
        <f>G33+G32+G31+G30</f>
        <v>5257</v>
      </c>
      <c r="H36" s="142"/>
      <c r="I36" s="142"/>
    </row>
    <row r="37" spans="2:12" x14ac:dyDescent="0.25">
      <c r="C37" s="142"/>
      <c r="D37" s="340" t="s">
        <v>85</v>
      </c>
      <c r="E37" s="340"/>
      <c r="F37" s="45"/>
      <c r="G37" s="45">
        <f>K37</f>
        <v>0</v>
      </c>
      <c r="H37" s="142"/>
      <c r="I37" s="142"/>
    </row>
    <row r="38" spans="2:12" x14ac:dyDescent="0.25">
      <c r="D38" s="341" t="s">
        <v>86</v>
      </c>
      <c r="E38" s="341"/>
      <c r="F38" s="45"/>
      <c r="G38" s="47">
        <f>SUM(G34:G37)</f>
        <v>5257</v>
      </c>
    </row>
    <row r="39" spans="2:12" x14ac:dyDescent="0.25">
      <c r="D39" s="342" t="s">
        <v>87</v>
      </c>
      <c r="E39" s="342"/>
      <c r="F39" s="179"/>
      <c r="G39" s="216">
        <f>ROUND(G38*1.2637,2)</f>
        <v>6643.27</v>
      </c>
    </row>
    <row r="41" spans="2:12" ht="30" x14ac:dyDescent="0.25">
      <c r="B41" s="43" t="s">
        <v>309</v>
      </c>
      <c r="C41" s="181" t="s">
        <v>310</v>
      </c>
      <c r="D41" s="43" t="s">
        <v>92</v>
      </c>
      <c r="E41" s="44" t="s">
        <v>135</v>
      </c>
      <c r="F41" s="44" t="s">
        <v>383</v>
      </c>
      <c r="G41" s="44" t="s">
        <v>116</v>
      </c>
    </row>
    <row r="42" spans="2:12" ht="42.75" x14ac:dyDescent="0.25">
      <c r="B42" s="215" t="s">
        <v>303</v>
      </c>
      <c r="C42" s="182" t="s">
        <v>304</v>
      </c>
      <c r="D42" s="237" t="s">
        <v>78</v>
      </c>
      <c r="E42" s="45">
        <v>1</v>
      </c>
      <c r="F42" s="45">
        <v>6.3</v>
      </c>
      <c r="G42" s="45">
        <f>ROUND(E42*F42,2)</f>
        <v>6.3</v>
      </c>
    </row>
    <row r="43" spans="2:12" ht="28.5" x14ac:dyDescent="0.25">
      <c r="B43" s="215" t="s">
        <v>306</v>
      </c>
      <c r="C43" s="182" t="s">
        <v>305</v>
      </c>
      <c r="D43" s="237" t="s">
        <v>78</v>
      </c>
      <c r="E43" s="45">
        <v>0.01</v>
      </c>
      <c r="F43" s="45">
        <v>13.27</v>
      </c>
      <c r="G43" s="45">
        <f>ROUND(E43*F43,2)</f>
        <v>0.13</v>
      </c>
    </row>
    <row r="44" spans="2:12" ht="28.5" x14ac:dyDescent="0.25">
      <c r="B44" s="215" t="s">
        <v>308</v>
      </c>
      <c r="C44" s="182" t="s">
        <v>307</v>
      </c>
      <c r="D44" s="237" t="s">
        <v>80</v>
      </c>
      <c r="E44" s="45">
        <v>0.3</v>
      </c>
      <c r="F44" s="45">
        <v>14.68</v>
      </c>
      <c r="G44" s="45">
        <f>ROUND(E44*F44,2)</f>
        <v>4.4000000000000004</v>
      </c>
    </row>
    <row r="45" spans="2:12" x14ac:dyDescent="0.25">
      <c r="B45" s="142"/>
      <c r="C45" s="142"/>
      <c r="D45" s="343" t="s">
        <v>82</v>
      </c>
      <c r="E45" s="343"/>
      <c r="F45" s="45"/>
      <c r="G45" s="45">
        <f>K45</f>
        <v>0</v>
      </c>
    </row>
    <row r="46" spans="2:12" x14ac:dyDescent="0.25">
      <c r="B46" s="142"/>
      <c r="C46" s="142"/>
      <c r="D46" s="340" t="s">
        <v>83</v>
      </c>
      <c r="E46" s="340"/>
      <c r="F46" s="45"/>
      <c r="G46" s="45">
        <f>K46</f>
        <v>0</v>
      </c>
    </row>
    <row r="47" spans="2:12" x14ac:dyDescent="0.25">
      <c r="B47" s="142"/>
      <c r="C47" s="142"/>
      <c r="D47" s="340" t="s">
        <v>84</v>
      </c>
      <c r="E47" s="340"/>
      <c r="F47" s="45"/>
      <c r="G47" s="45">
        <f>G43+G42</f>
        <v>6.43</v>
      </c>
    </row>
    <row r="48" spans="2:12" x14ac:dyDescent="0.25">
      <c r="C48" s="142"/>
      <c r="D48" s="340" t="s">
        <v>85</v>
      </c>
      <c r="E48" s="340"/>
      <c r="F48" s="45"/>
      <c r="G48" s="45">
        <f>G44</f>
        <v>4.4000000000000004</v>
      </c>
    </row>
    <row r="49" spans="2:7" x14ac:dyDescent="0.25">
      <c r="D49" s="341" t="s">
        <v>86</v>
      </c>
      <c r="E49" s="341"/>
      <c r="F49" s="45"/>
      <c r="G49" s="47">
        <f>SUM(G45:G48)</f>
        <v>10.83</v>
      </c>
    </row>
    <row r="50" spans="2:7" x14ac:dyDescent="0.25">
      <c r="D50" s="342" t="s">
        <v>87</v>
      </c>
      <c r="E50" s="342"/>
      <c r="F50" s="179"/>
      <c r="G50" s="216">
        <f>ROUND(G49*1.2637,2)</f>
        <v>13.69</v>
      </c>
    </row>
    <row r="52" spans="2:7" ht="75" x14ac:dyDescent="0.25">
      <c r="B52" s="43" t="s">
        <v>320</v>
      </c>
      <c r="C52" s="181" t="s">
        <v>334</v>
      </c>
      <c r="D52" s="43" t="s">
        <v>92</v>
      </c>
      <c r="E52" s="44" t="s">
        <v>135</v>
      </c>
      <c r="F52" s="44" t="s">
        <v>383</v>
      </c>
      <c r="G52" s="44" t="s">
        <v>116</v>
      </c>
    </row>
    <row r="53" spans="2:7" ht="57" x14ac:dyDescent="0.25">
      <c r="B53" s="215" t="s">
        <v>331</v>
      </c>
      <c r="C53" s="182" t="s">
        <v>321</v>
      </c>
      <c r="D53" s="246" t="s">
        <v>124</v>
      </c>
      <c r="E53" s="215" t="s">
        <v>322</v>
      </c>
      <c r="F53" s="45">
        <v>77</v>
      </c>
      <c r="G53" s="45">
        <f>ROUND(E53*F53,2)</f>
        <v>0.85</v>
      </c>
    </row>
    <row r="54" spans="2:7" ht="28.5" x14ac:dyDescent="0.25">
      <c r="B54" s="215" t="s">
        <v>330</v>
      </c>
      <c r="C54" s="182" t="s">
        <v>323</v>
      </c>
      <c r="D54" s="246" t="s">
        <v>324</v>
      </c>
      <c r="E54" s="215" t="s">
        <v>325</v>
      </c>
      <c r="F54" s="45">
        <v>0.4</v>
      </c>
      <c r="G54" s="45">
        <f t="shared" ref="G54:G55" si="0">ROUND(E54*F54,2)</f>
        <v>1.94</v>
      </c>
    </row>
    <row r="55" spans="2:7" ht="71.25" x14ac:dyDescent="0.25">
      <c r="B55" s="215" t="s">
        <v>335</v>
      </c>
      <c r="C55" s="182" t="s">
        <v>334</v>
      </c>
      <c r="D55" s="246" t="s">
        <v>326</v>
      </c>
      <c r="E55" s="215" t="s">
        <v>327</v>
      </c>
      <c r="F55" s="45">
        <v>128.22</v>
      </c>
      <c r="G55" s="45">
        <f t="shared" si="0"/>
        <v>128.22</v>
      </c>
    </row>
    <row r="56" spans="2:7" ht="28.5" x14ac:dyDescent="0.25">
      <c r="B56" s="215" t="s">
        <v>332</v>
      </c>
      <c r="C56" s="182" t="s">
        <v>328</v>
      </c>
      <c r="D56" s="246" t="s">
        <v>80</v>
      </c>
      <c r="E56" s="215" t="s">
        <v>329</v>
      </c>
      <c r="F56" s="45">
        <v>18.11</v>
      </c>
      <c r="G56" s="45">
        <f>ROUND(E56*F56,2)</f>
        <v>24.27</v>
      </c>
    </row>
    <row r="57" spans="2:7" ht="28.5" x14ac:dyDescent="0.25">
      <c r="B57" s="215" t="s">
        <v>333</v>
      </c>
      <c r="C57" s="182" t="s">
        <v>307</v>
      </c>
      <c r="D57" s="246" t="s">
        <v>80</v>
      </c>
      <c r="E57" s="215" t="s">
        <v>329</v>
      </c>
      <c r="F57" s="45">
        <v>14.68</v>
      </c>
      <c r="G57" s="45">
        <f>ROUND(E57*F57,2)</f>
        <v>19.670000000000002</v>
      </c>
    </row>
    <row r="58" spans="2:7" x14ac:dyDescent="0.25">
      <c r="B58" s="142"/>
      <c r="C58" s="142"/>
      <c r="D58" s="343" t="s">
        <v>82</v>
      </c>
      <c r="E58" s="343"/>
      <c r="F58" s="45"/>
      <c r="G58" s="45">
        <f>K58</f>
        <v>0</v>
      </c>
    </row>
    <row r="59" spans="2:7" x14ac:dyDescent="0.25">
      <c r="B59" s="142"/>
      <c r="C59" s="142"/>
      <c r="D59" s="340" t="s">
        <v>83</v>
      </c>
      <c r="E59" s="340"/>
      <c r="F59" s="45"/>
      <c r="G59" s="45">
        <f>K59</f>
        <v>0</v>
      </c>
    </row>
    <row r="60" spans="2:7" x14ac:dyDescent="0.25">
      <c r="B60" s="142"/>
      <c r="C60" s="142"/>
      <c r="D60" s="340" t="s">
        <v>84</v>
      </c>
      <c r="E60" s="340"/>
      <c r="F60" s="45"/>
      <c r="G60" s="45">
        <f>G53+G54+G55</f>
        <v>131.01</v>
      </c>
    </row>
    <row r="61" spans="2:7" x14ac:dyDescent="0.25">
      <c r="C61" s="142"/>
      <c r="D61" s="340" t="s">
        <v>85</v>
      </c>
      <c r="E61" s="340"/>
      <c r="F61" s="45"/>
      <c r="G61" s="45">
        <f>G56+G57</f>
        <v>43.94</v>
      </c>
    </row>
    <row r="62" spans="2:7" x14ac:dyDescent="0.25">
      <c r="D62" s="341" t="s">
        <v>86</v>
      </c>
      <c r="E62" s="341"/>
      <c r="F62" s="45"/>
      <c r="G62" s="47">
        <f>SUM(G58:G61)</f>
        <v>174.95</v>
      </c>
    </row>
    <row r="63" spans="2:7" x14ac:dyDescent="0.25">
      <c r="D63" s="342" t="s">
        <v>87</v>
      </c>
      <c r="E63" s="342"/>
      <c r="F63" s="179"/>
      <c r="G63" s="216">
        <f>ROUND(G62*1.2637,2)</f>
        <v>221.08</v>
      </c>
    </row>
    <row r="65" spans="2:7" ht="90" x14ac:dyDescent="0.25">
      <c r="B65" s="43" t="s">
        <v>362</v>
      </c>
      <c r="C65" s="181" t="s">
        <v>386</v>
      </c>
      <c r="D65" s="43" t="s">
        <v>92</v>
      </c>
      <c r="E65" s="44" t="s">
        <v>135</v>
      </c>
      <c r="F65" s="44" t="s">
        <v>383</v>
      </c>
      <c r="G65" s="44" t="s">
        <v>116</v>
      </c>
    </row>
    <row r="66" spans="2:7" ht="57" x14ac:dyDescent="0.25">
      <c r="B66" s="215" t="s">
        <v>375</v>
      </c>
      <c r="C66" s="182" t="s">
        <v>363</v>
      </c>
      <c r="D66" s="215" t="s">
        <v>125</v>
      </c>
      <c r="E66" s="182" t="s">
        <v>364</v>
      </c>
      <c r="F66" s="45">
        <v>4.43</v>
      </c>
      <c r="G66" s="45">
        <f t="shared" ref="G66:G69" si="1">ROUND(E66*F66,2)</f>
        <v>9.75</v>
      </c>
    </row>
    <row r="67" spans="2:7" ht="57" x14ac:dyDescent="0.25">
      <c r="B67" s="215" t="s">
        <v>376</v>
      </c>
      <c r="C67" s="182" t="s">
        <v>365</v>
      </c>
      <c r="D67" s="215" t="s">
        <v>326</v>
      </c>
      <c r="E67" s="182" t="s">
        <v>327</v>
      </c>
      <c r="F67" s="45">
        <v>2.86</v>
      </c>
      <c r="G67" s="45">
        <f t="shared" si="1"/>
        <v>2.86</v>
      </c>
    </row>
    <row r="68" spans="2:7" ht="71.25" x14ac:dyDescent="0.25">
      <c r="B68" s="215" t="s">
        <v>377</v>
      </c>
      <c r="C68" s="182" t="s">
        <v>366</v>
      </c>
      <c r="D68" s="215" t="s">
        <v>125</v>
      </c>
      <c r="E68" s="182" t="s">
        <v>364</v>
      </c>
      <c r="F68" s="45">
        <v>8.86</v>
      </c>
      <c r="G68" s="45">
        <f t="shared" si="1"/>
        <v>19.489999999999998</v>
      </c>
    </row>
    <row r="69" spans="2:7" ht="85.5" x14ac:dyDescent="0.25">
      <c r="B69" s="215" t="s">
        <v>378</v>
      </c>
      <c r="C69" s="182" t="s">
        <v>367</v>
      </c>
      <c r="D69" s="215" t="s">
        <v>125</v>
      </c>
      <c r="E69" s="182" t="s">
        <v>368</v>
      </c>
      <c r="F69" s="45">
        <v>3.8</v>
      </c>
      <c r="G69" s="45">
        <f t="shared" si="1"/>
        <v>7.6</v>
      </c>
    </row>
    <row r="70" spans="2:7" ht="85.5" x14ac:dyDescent="0.25">
      <c r="B70" s="215" t="s">
        <v>379</v>
      </c>
      <c r="C70" s="182" t="s">
        <v>369</v>
      </c>
      <c r="D70" s="215" t="s">
        <v>125</v>
      </c>
      <c r="E70" s="182" t="s">
        <v>364</v>
      </c>
      <c r="F70" s="45">
        <v>5.54</v>
      </c>
      <c r="G70" s="45">
        <f>ROUND(E70*F70,2)</f>
        <v>12.19</v>
      </c>
    </row>
    <row r="71" spans="2:7" ht="71.25" x14ac:dyDescent="0.25">
      <c r="B71" s="215" t="s">
        <v>380</v>
      </c>
      <c r="C71" s="182" t="s">
        <v>370</v>
      </c>
      <c r="D71" s="215" t="s">
        <v>125</v>
      </c>
      <c r="E71" s="182" t="s">
        <v>371</v>
      </c>
      <c r="F71" s="45">
        <v>2.99</v>
      </c>
      <c r="G71" s="45">
        <f t="shared" ref="G71:G72" si="2">ROUND(E71*F71,2)</f>
        <v>37.67</v>
      </c>
    </row>
    <row r="72" spans="2:7" ht="57" x14ac:dyDescent="0.25">
      <c r="B72" s="215" t="s">
        <v>381</v>
      </c>
      <c r="C72" s="182" t="s">
        <v>372</v>
      </c>
      <c r="D72" s="215" t="s">
        <v>326</v>
      </c>
      <c r="E72" s="182" t="s">
        <v>373</v>
      </c>
      <c r="F72" s="45">
        <v>7.92</v>
      </c>
      <c r="G72" s="45">
        <f t="shared" si="2"/>
        <v>2.97</v>
      </c>
    </row>
    <row r="73" spans="2:7" ht="71.25" x14ac:dyDescent="0.25">
      <c r="B73" s="215" t="s">
        <v>382</v>
      </c>
      <c r="C73" s="182" t="s">
        <v>374</v>
      </c>
      <c r="D73" s="215" t="s">
        <v>326</v>
      </c>
      <c r="E73" s="182" t="s">
        <v>327</v>
      </c>
      <c r="F73" s="45">
        <v>10.220000000000001</v>
      </c>
      <c r="G73" s="45">
        <f>ROUND(E73*F73,2)</f>
        <v>10.220000000000001</v>
      </c>
    </row>
    <row r="74" spans="2:7" ht="71.25" x14ac:dyDescent="0.25">
      <c r="B74" s="215" t="s">
        <v>384</v>
      </c>
      <c r="C74" s="182" t="s">
        <v>385</v>
      </c>
      <c r="D74" s="215" t="s">
        <v>326</v>
      </c>
      <c r="E74" s="182" t="s">
        <v>327</v>
      </c>
      <c r="F74" s="45">
        <v>31.52</v>
      </c>
      <c r="G74" s="45">
        <f>ROUND(E74*F74,2)</f>
        <v>31.52</v>
      </c>
    </row>
    <row r="75" spans="2:7" x14ac:dyDescent="0.25">
      <c r="B75" s="142"/>
      <c r="C75" s="142"/>
      <c r="D75" s="343" t="s">
        <v>82</v>
      </c>
      <c r="E75" s="343"/>
      <c r="F75" s="45"/>
      <c r="G75" s="45">
        <f>K75</f>
        <v>0</v>
      </c>
    </row>
    <row r="76" spans="2:7" x14ac:dyDescent="0.25">
      <c r="B76" s="142"/>
      <c r="C76" s="142"/>
      <c r="D76" s="340" t="s">
        <v>83</v>
      </c>
      <c r="E76" s="340"/>
      <c r="F76" s="45"/>
      <c r="G76" s="45">
        <f>K76</f>
        <v>0</v>
      </c>
    </row>
    <row r="77" spans="2:7" x14ac:dyDescent="0.25">
      <c r="B77" s="142"/>
      <c r="C77" s="142"/>
      <c r="D77" s="340" t="s">
        <v>84</v>
      </c>
      <c r="E77" s="340"/>
      <c r="F77" s="45"/>
      <c r="G77" s="45">
        <f>SUM(G66:G74)</f>
        <v>134.27000000000001</v>
      </c>
    </row>
    <row r="78" spans="2:7" x14ac:dyDescent="0.25">
      <c r="C78" s="142"/>
      <c r="D78" s="340" t="s">
        <v>85</v>
      </c>
      <c r="E78" s="340"/>
      <c r="F78" s="45"/>
      <c r="G78" s="45">
        <v>0</v>
      </c>
    </row>
    <row r="79" spans="2:7" x14ac:dyDescent="0.25">
      <c r="D79" s="341" t="s">
        <v>86</v>
      </c>
      <c r="E79" s="341"/>
      <c r="F79" s="45"/>
      <c r="G79" s="47">
        <f>SUM(G75:G78)</f>
        <v>134.27000000000001</v>
      </c>
    </row>
    <row r="80" spans="2:7" x14ac:dyDescent="0.25">
      <c r="D80" s="342" t="s">
        <v>87</v>
      </c>
      <c r="E80" s="342"/>
      <c r="F80" s="179"/>
      <c r="G80" s="216">
        <f>ROUND(G79*1.2637,2)</f>
        <v>169.68</v>
      </c>
    </row>
    <row r="82" spans="2:7" ht="90" x14ac:dyDescent="0.25">
      <c r="B82" s="43" t="s">
        <v>387</v>
      </c>
      <c r="C82" s="181" t="s">
        <v>388</v>
      </c>
      <c r="D82" s="43" t="s">
        <v>92</v>
      </c>
      <c r="E82" s="44" t="s">
        <v>135</v>
      </c>
      <c r="F82" s="44" t="s">
        <v>383</v>
      </c>
      <c r="G82" s="44" t="s">
        <v>116</v>
      </c>
    </row>
    <row r="83" spans="2:7" ht="57" x14ac:dyDescent="0.25">
      <c r="B83" s="215" t="s">
        <v>375</v>
      </c>
      <c r="C83" s="182" t="s">
        <v>363</v>
      </c>
      <c r="D83" s="215" t="s">
        <v>125</v>
      </c>
      <c r="E83" s="182" t="s">
        <v>364</v>
      </c>
      <c r="F83" s="45">
        <v>4.43</v>
      </c>
      <c r="G83" s="45">
        <f t="shared" ref="G83:G86" si="3">ROUND(E83*F83,2)</f>
        <v>9.75</v>
      </c>
    </row>
    <row r="84" spans="2:7" ht="57" x14ac:dyDescent="0.25">
      <c r="B84" s="215" t="s">
        <v>376</v>
      </c>
      <c r="C84" s="182" t="s">
        <v>365</v>
      </c>
      <c r="D84" s="215" t="s">
        <v>326</v>
      </c>
      <c r="E84" s="182" t="s">
        <v>327</v>
      </c>
      <c r="F84" s="45">
        <v>2.86</v>
      </c>
      <c r="G84" s="45">
        <f t="shared" si="3"/>
        <v>2.86</v>
      </c>
    </row>
    <row r="85" spans="2:7" ht="71.25" x14ac:dyDescent="0.25">
      <c r="B85" s="215" t="s">
        <v>377</v>
      </c>
      <c r="C85" s="182" t="s">
        <v>366</v>
      </c>
      <c r="D85" s="215" t="s">
        <v>125</v>
      </c>
      <c r="E85" s="182" t="s">
        <v>364</v>
      </c>
      <c r="F85" s="45">
        <v>8.86</v>
      </c>
      <c r="G85" s="45">
        <f t="shared" si="3"/>
        <v>19.489999999999998</v>
      </c>
    </row>
    <row r="86" spans="2:7" ht="85.5" x14ac:dyDescent="0.25">
      <c r="B86" s="215" t="s">
        <v>378</v>
      </c>
      <c r="C86" s="182" t="s">
        <v>367</v>
      </c>
      <c r="D86" s="215" t="s">
        <v>125</v>
      </c>
      <c r="E86" s="182" t="s">
        <v>368</v>
      </c>
      <c r="F86" s="45">
        <v>3.8</v>
      </c>
      <c r="G86" s="45">
        <f t="shared" si="3"/>
        <v>7.6</v>
      </c>
    </row>
    <row r="87" spans="2:7" ht="85.5" x14ac:dyDescent="0.25">
      <c r="B87" s="215" t="s">
        <v>379</v>
      </c>
      <c r="C87" s="182" t="s">
        <v>369</v>
      </c>
      <c r="D87" s="215" t="s">
        <v>125</v>
      </c>
      <c r="E87" s="182" t="s">
        <v>364</v>
      </c>
      <c r="F87" s="45">
        <v>5.54</v>
      </c>
      <c r="G87" s="45">
        <f>ROUND(E87*F87,2)</f>
        <v>12.19</v>
      </c>
    </row>
    <row r="88" spans="2:7" ht="71.25" x14ac:dyDescent="0.25">
      <c r="B88" s="215" t="s">
        <v>380</v>
      </c>
      <c r="C88" s="182" t="s">
        <v>370</v>
      </c>
      <c r="D88" s="215" t="s">
        <v>125</v>
      </c>
      <c r="E88" s="182" t="s">
        <v>371</v>
      </c>
      <c r="F88" s="45">
        <v>2.99</v>
      </c>
      <c r="G88" s="45">
        <f t="shared" ref="G88:G89" si="4">ROUND(E88*F88,2)</f>
        <v>37.67</v>
      </c>
    </row>
    <row r="89" spans="2:7" ht="57" x14ac:dyDescent="0.25">
      <c r="B89" s="215" t="s">
        <v>381</v>
      </c>
      <c r="C89" s="182" t="s">
        <v>372</v>
      </c>
      <c r="D89" s="215" t="s">
        <v>326</v>
      </c>
      <c r="E89" s="182" t="s">
        <v>373</v>
      </c>
      <c r="F89" s="45">
        <v>7.92</v>
      </c>
      <c r="G89" s="45">
        <f t="shared" si="4"/>
        <v>2.97</v>
      </c>
    </row>
    <row r="90" spans="2:7" ht="71.25" x14ac:dyDescent="0.25">
      <c r="B90" s="215" t="s">
        <v>382</v>
      </c>
      <c r="C90" s="182" t="s">
        <v>374</v>
      </c>
      <c r="D90" s="215" t="s">
        <v>326</v>
      </c>
      <c r="E90" s="182" t="s">
        <v>327</v>
      </c>
      <c r="F90" s="45">
        <v>10.220000000000001</v>
      </c>
      <c r="G90" s="45">
        <f>ROUND(E90*F90,2)</f>
        <v>10.220000000000001</v>
      </c>
    </row>
    <row r="91" spans="2:7" ht="71.25" x14ac:dyDescent="0.25">
      <c r="B91" s="215" t="s">
        <v>389</v>
      </c>
      <c r="C91" s="182" t="s">
        <v>390</v>
      </c>
      <c r="D91" s="215" t="s">
        <v>326</v>
      </c>
      <c r="E91" s="182" t="s">
        <v>327</v>
      </c>
      <c r="F91" s="45">
        <v>23.02</v>
      </c>
      <c r="G91" s="45">
        <f>ROUND(E91*F91,2)</f>
        <v>23.02</v>
      </c>
    </row>
    <row r="92" spans="2:7" x14ac:dyDescent="0.25">
      <c r="B92" s="142"/>
      <c r="C92" s="142"/>
      <c r="D92" s="343" t="s">
        <v>82</v>
      </c>
      <c r="E92" s="343"/>
      <c r="F92" s="45"/>
      <c r="G92" s="45">
        <f>K92</f>
        <v>0</v>
      </c>
    </row>
    <row r="93" spans="2:7" x14ac:dyDescent="0.25">
      <c r="B93" s="142"/>
      <c r="C93" s="142"/>
      <c r="D93" s="340" t="s">
        <v>83</v>
      </c>
      <c r="E93" s="340"/>
      <c r="F93" s="45"/>
      <c r="G93" s="45">
        <f>K93</f>
        <v>0</v>
      </c>
    </row>
    <row r="94" spans="2:7" x14ac:dyDescent="0.25">
      <c r="B94" s="142"/>
      <c r="C94" s="142"/>
      <c r="D94" s="340" t="s">
        <v>84</v>
      </c>
      <c r="E94" s="340"/>
      <c r="F94" s="45"/>
      <c r="G94" s="45">
        <f>SUM(G83:G91)</f>
        <v>125.77</v>
      </c>
    </row>
    <row r="95" spans="2:7" x14ac:dyDescent="0.25">
      <c r="C95" s="142"/>
      <c r="D95" s="340" t="s">
        <v>85</v>
      </c>
      <c r="E95" s="340"/>
      <c r="F95" s="45"/>
      <c r="G95" s="45">
        <v>0</v>
      </c>
    </row>
    <row r="96" spans="2:7" x14ac:dyDescent="0.25">
      <c r="D96" s="341" t="s">
        <v>86</v>
      </c>
      <c r="E96" s="341"/>
      <c r="F96" s="45"/>
      <c r="G96" s="47">
        <f>SUM(G92:G95)</f>
        <v>125.77</v>
      </c>
    </row>
    <row r="97" spans="2:7" x14ac:dyDescent="0.25">
      <c r="D97" s="342" t="s">
        <v>87</v>
      </c>
      <c r="E97" s="342"/>
      <c r="F97" s="179"/>
      <c r="G97" s="216">
        <f>ROUND(G96*1.2637,2)</f>
        <v>158.94</v>
      </c>
    </row>
    <row r="99" spans="2:7" x14ac:dyDescent="0.25">
      <c r="B99" s="43" t="s">
        <v>503</v>
      </c>
      <c r="C99" s="181" t="s">
        <v>502</v>
      </c>
      <c r="D99" s="43" t="s">
        <v>92</v>
      </c>
      <c r="E99" s="44"/>
      <c r="F99" s="44"/>
      <c r="G99" s="44"/>
    </row>
    <row r="100" spans="2:7" ht="42.75" x14ac:dyDescent="0.25">
      <c r="B100" s="301" t="s">
        <v>504</v>
      </c>
      <c r="C100" s="182" t="s">
        <v>505</v>
      </c>
      <c r="D100" s="301" t="s">
        <v>80</v>
      </c>
      <c r="E100" s="303">
        <v>5.8000000000000003E-2</v>
      </c>
      <c r="F100" s="45">
        <v>22.29</v>
      </c>
      <c r="G100" s="45">
        <f>F100*E100</f>
        <v>1.2928200000000001</v>
      </c>
    </row>
    <row r="101" spans="2:7" x14ac:dyDescent="0.25">
      <c r="B101" s="46"/>
      <c r="C101" s="46"/>
      <c r="D101" s="343" t="s">
        <v>82</v>
      </c>
      <c r="E101" s="343"/>
      <c r="F101" s="45"/>
      <c r="G101" s="45">
        <v>0</v>
      </c>
    </row>
    <row r="102" spans="2:7" x14ac:dyDescent="0.25">
      <c r="B102" s="46"/>
      <c r="C102" s="46"/>
      <c r="D102" s="340" t="s">
        <v>83</v>
      </c>
      <c r="E102" s="340"/>
      <c r="F102" s="45"/>
      <c r="G102" s="45">
        <v>0</v>
      </c>
    </row>
    <row r="103" spans="2:7" x14ac:dyDescent="0.25">
      <c r="B103" s="46"/>
      <c r="C103" s="46"/>
      <c r="D103" s="340" t="s">
        <v>84</v>
      </c>
      <c r="E103" s="340"/>
      <c r="F103" s="45"/>
      <c r="G103" s="45">
        <v>0</v>
      </c>
    </row>
    <row r="104" spans="2:7" x14ac:dyDescent="0.25">
      <c r="B104" s="46"/>
      <c r="C104" s="46"/>
      <c r="D104" s="340" t="s">
        <v>85</v>
      </c>
      <c r="E104" s="340"/>
      <c r="F104" s="45"/>
      <c r="G104" s="45">
        <f>SUM(G100:G100)</f>
        <v>1.2928200000000001</v>
      </c>
    </row>
    <row r="105" spans="2:7" x14ac:dyDescent="0.25">
      <c r="B105" s="46"/>
      <c r="C105" s="46"/>
      <c r="D105" s="341" t="s">
        <v>86</v>
      </c>
      <c r="E105" s="341"/>
      <c r="F105" s="45"/>
      <c r="G105" s="47">
        <f>SUM(G101:G104)</f>
        <v>1.2928200000000001</v>
      </c>
    </row>
    <row r="106" spans="2:7" x14ac:dyDescent="0.25">
      <c r="B106" s="46"/>
      <c r="C106" s="46"/>
      <c r="D106" s="342" t="s">
        <v>87</v>
      </c>
      <c r="E106" s="342"/>
      <c r="F106" s="179"/>
      <c r="G106" s="300">
        <f>ROUND(G105*1.2637,2)</f>
        <v>1.63</v>
      </c>
    </row>
  </sheetData>
  <mergeCells count="55">
    <mergeCell ref="D106:E106"/>
    <mergeCell ref="D101:E101"/>
    <mergeCell ref="D102:E102"/>
    <mergeCell ref="D103:E103"/>
    <mergeCell ref="D104:E104"/>
    <mergeCell ref="D105:E105"/>
    <mergeCell ref="D26:E26"/>
    <mergeCell ref="D16:E16"/>
    <mergeCell ref="D21:E21"/>
    <mergeCell ref="D22:E22"/>
    <mergeCell ref="D23:E23"/>
    <mergeCell ref="D24:E24"/>
    <mergeCell ref="D25:E25"/>
    <mergeCell ref="D15:E15"/>
    <mergeCell ref="D11:E11"/>
    <mergeCell ref="D12:E12"/>
    <mergeCell ref="D13:E13"/>
    <mergeCell ref="D14:E14"/>
    <mergeCell ref="C6:G6"/>
    <mergeCell ref="B7:G7"/>
    <mergeCell ref="C1:G1"/>
    <mergeCell ref="C2:G2"/>
    <mergeCell ref="C3:G3"/>
    <mergeCell ref="C4:G4"/>
    <mergeCell ref="C5:G5"/>
    <mergeCell ref="D39:E39"/>
    <mergeCell ref="D34:E34"/>
    <mergeCell ref="D35:E35"/>
    <mergeCell ref="D36:E36"/>
    <mergeCell ref="D37:E37"/>
    <mergeCell ref="D38:E38"/>
    <mergeCell ref="D50:E50"/>
    <mergeCell ref="D45:E45"/>
    <mergeCell ref="D46:E46"/>
    <mergeCell ref="D47:E47"/>
    <mergeCell ref="D48:E48"/>
    <mergeCell ref="D49:E49"/>
    <mergeCell ref="D58:E58"/>
    <mergeCell ref="D59:E59"/>
    <mergeCell ref="D60:E60"/>
    <mergeCell ref="D61:E61"/>
    <mergeCell ref="D62:E62"/>
    <mergeCell ref="D63:E63"/>
    <mergeCell ref="D75:E75"/>
    <mergeCell ref="D76:E76"/>
    <mergeCell ref="D77:E77"/>
    <mergeCell ref="D78:E78"/>
    <mergeCell ref="D95:E95"/>
    <mergeCell ref="D96:E96"/>
    <mergeCell ref="D97:E97"/>
    <mergeCell ref="D79:E79"/>
    <mergeCell ref="D80:E80"/>
    <mergeCell ref="D92:E92"/>
    <mergeCell ref="D93:E93"/>
    <mergeCell ref="D94:E94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27" workbookViewId="0">
      <selection activeCell="L52" sqref="L52"/>
    </sheetView>
  </sheetViews>
  <sheetFormatPr defaultRowHeight="15" x14ac:dyDescent="0.25"/>
  <cols>
    <col min="1" max="1" width="9.28515625" customWidth="1"/>
    <col min="2" max="2" width="33" customWidth="1"/>
    <col min="3" max="3" width="14.140625" customWidth="1"/>
    <col min="4" max="4" width="11.42578125" bestFit="1" customWidth="1"/>
    <col min="5" max="9" width="14.7109375" customWidth="1"/>
    <col min="10" max="10" width="14.7109375" style="55" bestFit="1" customWidth="1"/>
    <col min="11" max="11" width="13.140625" bestFit="1" customWidth="1"/>
    <col min="12" max="12" width="13.85546875" bestFit="1" customWidth="1"/>
    <col min="13" max="13" width="12" bestFit="1" customWidth="1"/>
  </cols>
  <sheetData>
    <row r="1" spans="1:12" ht="15" customHeight="1" x14ac:dyDescent="0.25">
      <c r="A1" s="359" t="s">
        <v>136</v>
      </c>
      <c r="B1" s="360"/>
      <c r="C1" s="360"/>
      <c r="D1" s="360"/>
      <c r="E1" s="360"/>
      <c r="F1" s="360"/>
      <c r="G1" s="360"/>
      <c r="H1" s="360"/>
      <c r="I1" s="360"/>
      <c r="J1" s="361"/>
    </row>
    <row r="2" spans="1:12" ht="15" customHeight="1" x14ac:dyDescent="0.25">
      <c r="A2" s="362"/>
      <c r="B2" s="363"/>
      <c r="C2" s="363"/>
      <c r="D2" s="363"/>
      <c r="E2" s="363"/>
      <c r="F2" s="363"/>
      <c r="G2" s="363"/>
      <c r="H2" s="363"/>
      <c r="I2" s="363"/>
      <c r="J2" s="364"/>
    </row>
    <row r="3" spans="1:12" ht="15" customHeight="1" x14ac:dyDescent="0.25">
      <c r="A3" s="362"/>
      <c r="B3" s="363"/>
      <c r="C3" s="363"/>
      <c r="D3" s="363"/>
      <c r="E3" s="363"/>
      <c r="F3" s="363"/>
      <c r="G3" s="363"/>
      <c r="H3" s="363"/>
      <c r="I3" s="363"/>
      <c r="J3" s="364"/>
    </row>
    <row r="4" spans="1:12" ht="15" customHeight="1" x14ac:dyDescent="0.25">
      <c r="A4" s="362"/>
      <c r="B4" s="363"/>
      <c r="C4" s="363"/>
      <c r="D4" s="363"/>
      <c r="E4" s="363"/>
      <c r="F4" s="363"/>
      <c r="G4" s="363"/>
      <c r="H4" s="363"/>
      <c r="I4" s="363"/>
      <c r="J4" s="364"/>
    </row>
    <row r="5" spans="1:12" ht="15" customHeight="1" x14ac:dyDescent="0.25">
      <c r="A5" s="362"/>
      <c r="B5" s="363"/>
      <c r="C5" s="363"/>
      <c r="D5" s="363"/>
      <c r="E5" s="363"/>
      <c r="F5" s="363"/>
      <c r="G5" s="363"/>
      <c r="H5" s="363"/>
      <c r="I5" s="363"/>
      <c r="J5" s="364"/>
    </row>
    <row r="6" spans="1:12" ht="15" customHeight="1" x14ac:dyDescent="0.25">
      <c r="A6" s="365" t="s">
        <v>93</v>
      </c>
      <c r="B6" s="366"/>
      <c r="C6" s="366"/>
      <c r="D6" s="366"/>
      <c r="E6" s="366"/>
      <c r="F6" s="366"/>
      <c r="G6" s="366"/>
      <c r="H6" s="366"/>
      <c r="I6" s="366"/>
      <c r="J6" s="367"/>
    </row>
    <row r="7" spans="1:12" ht="15" customHeight="1" x14ac:dyDescent="0.25">
      <c r="A7" s="368"/>
      <c r="B7" s="369"/>
      <c r="C7" s="369"/>
      <c r="D7" s="369"/>
      <c r="E7" s="369"/>
      <c r="F7" s="369"/>
      <c r="G7" s="369"/>
      <c r="H7" s="369"/>
      <c r="I7" s="369"/>
      <c r="J7" s="370"/>
    </row>
    <row r="8" spans="1:12" x14ac:dyDescent="0.25">
      <c r="A8" s="376" t="str">
        <f>Orçamento!B8</f>
        <v xml:space="preserve">OBJETO: CONSTRUÇÃO E REFORMA DO PSF DE BARRA DE CATUAMA   </v>
      </c>
      <c r="B8" s="377"/>
      <c r="C8" s="377"/>
      <c r="D8" s="377"/>
      <c r="E8" s="377"/>
      <c r="F8" s="377"/>
      <c r="G8" s="377"/>
      <c r="H8" s="377"/>
      <c r="I8" s="377"/>
      <c r="J8" s="378"/>
    </row>
    <row r="9" spans="1:12" x14ac:dyDescent="0.25">
      <c r="A9" s="376" t="str">
        <f>Orçamento!B9</f>
        <v>LOCAL: BARRA DE CATUAMA, GOIANA/PE</v>
      </c>
      <c r="B9" s="377"/>
      <c r="C9" s="377"/>
      <c r="D9" s="377"/>
      <c r="E9" s="377"/>
      <c r="F9" s="377"/>
      <c r="G9" s="377"/>
      <c r="H9" s="377"/>
      <c r="I9" s="377"/>
      <c r="J9" s="378"/>
    </row>
    <row r="10" spans="1:12" x14ac:dyDescent="0.25">
      <c r="A10" s="376" t="str">
        <f>Orçamento!B10</f>
        <v>DATA: OUTUBRO 2019</v>
      </c>
      <c r="B10" s="377"/>
      <c r="C10" s="377"/>
      <c r="D10" s="377"/>
      <c r="E10" s="377"/>
      <c r="F10" s="377"/>
      <c r="G10" s="377"/>
      <c r="H10" s="377"/>
      <c r="I10" s="377"/>
      <c r="J10" s="378"/>
    </row>
    <row r="11" spans="1:12" x14ac:dyDescent="0.25">
      <c r="A11" s="379" t="s">
        <v>3</v>
      </c>
      <c r="B11" s="380" t="s">
        <v>4</v>
      </c>
      <c r="C11" s="53" t="s">
        <v>94</v>
      </c>
      <c r="D11" s="53" t="s">
        <v>95</v>
      </c>
      <c r="E11" s="381" t="s">
        <v>96</v>
      </c>
      <c r="F11" s="382"/>
      <c r="G11" s="382"/>
      <c r="H11" s="382"/>
      <c r="I11" s="382"/>
      <c r="J11" s="383"/>
    </row>
    <row r="12" spans="1:12" x14ac:dyDescent="0.25">
      <c r="A12" s="379"/>
      <c r="B12" s="380"/>
      <c r="C12" s="53" t="s">
        <v>97</v>
      </c>
      <c r="D12" s="53" t="s">
        <v>98</v>
      </c>
      <c r="E12" s="184" t="s">
        <v>99</v>
      </c>
      <c r="F12" s="184" t="s">
        <v>100</v>
      </c>
      <c r="G12" s="183" t="s">
        <v>101</v>
      </c>
      <c r="H12" s="183" t="s">
        <v>134</v>
      </c>
      <c r="I12" s="183" t="s">
        <v>460</v>
      </c>
      <c r="J12" s="183" t="s">
        <v>461</v>
      </c>
      <c r="L12" s="286"/>
    </row>
    <row r="13" spans="1:12" x14ac:dyDescent="0.25">
      <c r="A13" s="56"/>
      <c r="B13" s="57"/>
      <c r="C13" s="58"/>
      <c r="D13" s="375">
        <f>C14*100/C45</f>
        <v>8.1629401619943618</v>
      </c>
      <c r="E13" s="59">
        <v>0.16669999999999999</v>
      </c>
      <c r="F13" s="60">
        <v>0.1666</v>
      </c>
      <c r="G13" s="60">
        <v>0.16669999999999999</v>
      </c>
      <c r="H13" s="60">
        <v>0.16669999999999999</v>
      </c>
      <c r="I13" s="60">
        <v>0.1666</v>
      </c>
      <c r="J13" s="60">
        <v>0.16669999999999999</v>
      </c>
      <c r="L13" s="286"/>
    </row>
    <row r="14" spans="1:12" x14ac:dyDescent="0.25">
      <c r="A14" s="61" t="s">
        <v>59</v>
      </c>
      <c r="B14" s="102" t="str">
        <f>Orçamento!D15</f>
        <v>ADMINISTRAÇÃO LOCAL</v>
      </c>
      <c r="C14" s="186">
        <f>Orçamento!H15</f>
        <v>42894.720000000001</v>
      </c>
      <c r="D14" s="375"/>
      <c r="E14" s="62"/>
      <c r="F14" s="62"/>
      <c r="G14" s="238"/>
      <c r="H14" s="99"/>
      <c r="I14" s="238"/>
      <c r="J14" s="99"/>
      <c r="L14" s="305"/>
    </row>
    <row r="15" spans="1:12" x14ac:dyDescent="0.25">
      <c r="A15" s="64"/>
      <c r="B15" s="65"/>
      <c r="C15" s="66"/>
      <c r="D15" s="375"/>
      <c r="E15" s="54">
        <f>ROUND(C14*E13,2)</f>
        <v>7150.55</v>
      </c>
      <c r="F15" s="54">
        <f>ROUND(C14*F13,2)</f>
        <v>7146.26</v>
      </c>
      <c r="G15" s="54">
        <f>ROUND(C14*G13,2)</f>
        <v>7150.55</v>
      </c>
      <c r="H15" s="54">
        <f>ROUND(C14*H13,2)</f>
        <v>7150.55</v>
      </c>
      <c r="I15" s="54">
        <f>ROUND(C14*I13,2)</f>
        <v>7146.26</v>
      </c>
      <c r="J15" s="54">
        <f>ROUND(C14*J13,2)</f>
        <v>7150.55</v>
      </c>
      <c r="K15" s="55"/>
      <c r="L15" s="286"/>
    </row>
    <row r="16" spans="1:12" x14ac:dyDescent="0.25">
      <c r="A16" s="56"/>
      <c r="B16" s="57"/>
      <c r="C16" s="187"/>
      <c r="D16" s="375">
        <f>C17*100/C45</f>
        <v>4.9513412705020396</v>
      </c>
      <c r="E16" s="59">
        <v>0.9</v>
      </c>
      <c r="F16" s="60">
        <v>0.1</v>
      </c>
      <c r="G16" s="185"/>
      <c r="H16" s="185"/>
      <c r="I16" s="185"/>
      <c r="J16" s="185"/>
      <c r="K16" s="55"/>
      <c r="L16" s="286"/>
    </row>
    <row r="17" spans="1:13" x14ac:dyDescent="0.25">
      <c r="A17" s="64" t="s">
        <v>13</v>
      </c>
      <c r="B17" s="102" t="str">
        <f>Orçamento!D18</f>
        <v>SERVIÇOS PRELIMINARES</v>
      </c>
      <c r="C17" s="188">
        <f>Orçamento!H18</f>
        <v>26018.37</v>
      </c>
      <c r="D17" s="375"/>
      <c r="E17" s="62"/>
      <c r="F17" s="67"/>
      <c r="G17" s="288"/>
      <c r="H17" s="239"/>
      <c r="I17" s="239"/>
      <c r="J17" s="239"/>
      <c r="K17" s="55"/>
      <c r="L17" s="305"/>
    </row>
    <row r="18" spans="1:13" x14ac:dyDescent="0.25">
      <c r="A18" s="64"/>
      <c r="B18" s="65"/>
      <c r="C18" s="189"/>
      <c r="D18" s="375"/>
      <c r="E18" s="54">
        <f>ROUND(C17*E16,2)</f>
        <v>23416.53</v>
      </c>
      <c r="F18" s="54">
        <f>ROUND(C17*F16,2)</f>
        <v>2601.84</v>
      </c>
      <c r="G18" s="54"/>
      <c r="H18" s="100"/>
      <c r="I18" s="100"/>
      <c r="J18" s="100"/>
      <c r="K18" s="55"/>
      <c r="L18" s="286"/>
    </row>
    <row r="19" spans="1:13" x14ac:dyDescent="0.25">
      <c r="A19" s="56"/>
      <c r="B19" s="57"/>
      <c r="C19" s="187"/>
      <c r="D19" s="372">
        <f>C20*100/C45</f>
        <v>8.1089877136434438</v>
      </c>
      <c r="E19" s="60">
        <v>0.6</v>
      </c>
      <c r="F19" s="60">
        <v>0.34</v>
      </c>
      <c r="G19" s="60">
        <v>0.06</v>
      </c>
      <c r="H19" s="185"/>
      <c r="I19" s="185"/>
      <c r="J19" s="185"/>
      <c r="K19" s="55"/>
      <c r="L19" s="286"/>
    </row>
    <row r="20" spans="1:13" x14ac:dyDescent="0.25">
      <c r="A20" s="64" t="s">
        <v>23</v>
      </c>
      <c r="B20" s="101" t="str">
        <f>Orçamento!D31</f>
        <v>ALVENARIA E FUNDAÇÕES</v>
      </c>
      <c r="C20" s="188">
        <f>Orçamento!H31</f>
        <v>42611.209999999992</v>
      </c>
      <c r="D20" s="373"/>
      <c r="E20" s="62"/>
      <c r="F20" s="62"/>
      <c r="G20" s="62"/>
      <c r="H20" s="69"/>
      <c r="I20" s="69"/>
      <c r="J20" s="287"/>
      <c r="K20" s="55"/>
      <c r="L20" s="305"/>
      <c r="M20" s="55"/>
    </row>
    <row r="21" spans="1:13" ht="14.25" customHeight="1" x14ac:dyDescent="0.25">
      <c r="A21" s="64"/>
      <c r="B21" s="65"/>
      <c r="C21" s="189"/>
      <c r="D21" s="374"/>
      <c r="E21" s="54">
        <f>ROUND(C20*E19,2)</f>
        <v>25566.73</v>
      </c>
      <c r="F21" s="54">
        <f>ROUND(C20*F19,2)</f>
        <v>14487.81</v>
      </c>
      <c r="G21" s="54">
        <f>ROUND(C20*G19,2)</f>
        <v>2556.67</v>
      </c>
      <c r="H21" s="54"/>
      <c r="I21" s="54"/>
      <c r="J21" s="54"/>
      <c r="K21" s="55"/>
      <c r="L21" s="286"/>
    </row>
    <row r="22" spans="1:13" x14ac:dyDescent="0.25">
      <c r="A22" s="56"/>
      <c r="B22" s="57"/>
      <c r="C22" s="187"/>
      <c r="D22" s="372">
        <f>C23*100/C45</f>
        <v>9.7274641102798629</v>
      </c>
      <c r="E22" s="185"/>
      <c r="F22" s="185"/>
      <c r="G22" s="185"/>
      <c r="H22" s="185"/>
      <c r="I22" s="60">
        <v>0.3</v>
      </c>
      <c r="J22" s="60">
        <v>0.7</v>
      </c>
      <c r="K22" s="55"/>
      <c r="L22" s="286"/>
    </row>
    <row r="23" spans="1:13" x14ac:dyDescent="0.25">
      <c r="A23" s="64" t="s">
        <v>27</v>
      </c>
      <c r="B23" s="102" t="str">
        <f>Orçamento!D41</f>
        <v>PINTURA</v>
      </c>
      <c r="C23" s="188">
        <f>Orçamento!H41</f>
        <v>51116</v>
      </c>
      <c r="D23" s="373"/>
      <c r="E23" s="69"/>
      <c r="F23" s="69"/>
      <c r="G23" s="287"/>
      <c r="H23" s="100"/>
      <c r="I23" s="238"/>
      <c r="J23" s="99"/>
      <c r="K23" s="55"/>
      <c r="L23" s="305"/>
    </row>
    <row r="24" spans="1:13" x14ac:dyDescent="0.25">
      <c r="A24" s="64"/>
      <c r="B24" s="283"/>
      <c r="C24" s="189"/>
      <c r="D24" s="374"/>
      <c r="E24" s="70"/>
      <c r="F24" s="240"/>
      <c r="G24" s="54"/>
      <c r="H24" s="54"/>
      <c r="I24" s="54">
        <f>ROUND(C23*I22,2)</f>
        <v>15334.8</v>
      </c>
      <c r="J24" s="54">
        <f>ROUND(C23*J22,2)</f>
        <v>35781.199999999997</v>
      </c>
      <c r="K24" s="55"/>
      <c r="L24" s="286"/>
    </row>
    <row r="25" spans="1:13" x14ac:dyDescent="0.25">
      <c r="A25" s="56"/>
      <c r="B25" s="284"/>
      <c r="C25" s="187"/>
      <c r="D25" s="372">
        <f>C26*100/C45</f>
        <v>7.0782525542062631</v>
      </c>
      <c r="E25" s="185"/>
      <c r="F25" s="185"/>
      <c r="G25" s="185"/>
      <c r="H25" s="60">
        <v>0.28000000000000003</v>
      </c>
      <c r="I25" s="60">
        <v>0.4</v>
      </c>
      <c r="J25" s="60">
        <v>0.32</v>
      </c>
      <c r="K25" s="55"/>
      <c r="L25" s="286"/>
    </row>
    <row r="26" spans="1:13" x14ac:dyDescent="0.25">
      <c r="A26" s="64" t="s">
        <v>29</v>
      </c>
      <c r="B26" s="102" t="str">
        <f>Orçamento!D48</f>
        <v>ESQUADRIA</v>
      </c>
      <c r="C26" s="188">
        <f>Orçamento!H48</f>
        <v>37194.89</v>
      </c>
      <c r="D26" s="373"/>
      <c r="E26" s="69"/>
      <c r="F26" s="69"/>
      <c r="G26" s="287"/>
      <c r="H26" s="99"/>
      <c r="I26" s="238"/>
      <c r="J26" s="99"/>
      <c r="K26" s="55"/>
      <c r="L26" s="305"/>
    </row>
    <row r="27" spans="1:13" ht="15.75" customHeight="1" x14ac:dyDescent="0.25">
      <c r="A27" s="64"/>
      <c r="B27" s="283"/>
      <c r="C27" s="189"/>
      <c r="D27" s="374"/>
      <c r="E27" s="54"/>
      <c r="F27" s="54"/>
      <c r="G27" s="54"/>
      <c r="H27" s="54">
        <f>ROUND(C26*H25,2)</f>
        <v>10414.57</v>
      </c>
      <c r="I27" s="54">
        <f>ROUND(C26*I25,2)</f>
        <v>14877.96</v>
      </c>
      <c r="J27" s="54">
        <f>ROUND(C26*J25,2)</f>
        <v>11902.36</v>
      </c>
      <c r="K27" s="55"/>
      <c r="L27" s="286"/>
    </row>
    <row r="28" spans="1:13" x14ac:dyDescent="0.25">
      <c r="A28" s="56"/>
      <c r="B28" s="284"/>
      <c r="C28" s="187"/>
      <c r="D28" s="372">
        <f>C29*100/C45</f>
        <v>26.401339724300342</v>
      </c>
      <c r="E28" s="185"/>
      <c r="F28" s="60">
        <v>0.25</v>
      </c>
      <c r="G28" s="60">
        <v>0.3</v>
      </c>
      <c r="H28" s="60">
        <v>0.25</v>
      </c>
      <c r="I28" s="60">
        <v>0.1</v>
      </c>
      <c r="J28" s="60">
        <v>0.1</v>
      </c>
      <c r="K28" s="55"/>
      <c r="L28" s="286"/>
    </row>
    <row r="29" spans="1:13" x14ac:dyDescent="0.25">
      <c r="A29" s="64" t="s">
        <v>32</v>
      </c>
      <c r="B29" s="102" t="str">
        <f>Orçamento!D57</f>
        <v>REVESTIMENTOS E PISOS</v>
      </c>
      <c r="C29" s="188">
        <f>Orçamento!H57</f>
        <v>138734.09</v>
      </c>
      <c r="D29" s="373"/>
      <c r="E29" s="287"/>
      <c r="F29" s="238"/>
      <c r="G29" s="238"/>
      <c r="H29" s="99"/>
      <c r="I29" s="238"/>
      <c r="J29" s="99"/>
      <c r="K29" s="55"/>
      <c r="L29" s="305"/>
    </row>
    <row r="30" spans="1:13" x14ac:dyDescent="0.25">
      <c r="A30" s="64"/>
      <c r="B30" s="283"/>
      <c r="C30" s="189"/>
      <c r="D30" s="374"/>
      <c r="E30" s="54"/>
      <c r="F30" s="54">
        <f>ROUND(C29*F28,2)</f>
        <v>34683.519999999997</v>
      </c>
      <c r="G30" s="54">
        <f>ROUND(C29*G28,2)</f>
        <v>41620.230000000003</v>
      </c>
      <c r="H30" s="54">
        <f>ROUND(C29*H28,2)</f>
        <v>34683.519999999997</v>
      </c>
      <c r="I30" s="54">
        <f>ROUND(C29*I28,2)</f>
        <v>13873.41</v>
      </c>
      <c r="J30" s="54">
        <f>ROUND(C29*J28,2)</f>
        <v>13873.41</v>
      </c>
      <c r="K30" s="55"/>
      <c r="L30" s="286"/>
    </row>
    <row r="31" spans="1:13" x14ac:dyDescent="0.25">
      <c r="A31" s="64"/>
      <c r="B31" s="283"/>
      <c r="C31" s="189"/>
      <c r="D31" s="372">
        <f>C32*100/C45</f>
        <v>14.330522735111863</v>
      </c>
      <c r="E31" s="185"/>
      <c r="F31" s="185"/>
      <c r="G31" s="60">
        <v>0.28000000000000003</v>
      </c>
      <c r="H31" s="60">
        <v>0.32</v>
      </c>
      <c r="I31" s="60">
        <v>0.26</v>
      </c>
      <c r="J31" s="60">
        <v>0.14000000000000001</v>
      </c>
      <c r="K31" s="55"/>
      <c r="L31" s="286"/>
    </row>
    <row r="32" spans="1:13" x14ac:dyDescent="0.25">
      <c r="A32" s="64" t="s">
        <v>36</v>
      </c>
      <c r="B32" s="283" t="s">
        <v>46</v>
      </c>
      <c r="C32" s="190">
        <f>Orçamento!H69</f>
        <v>75304.210000000006</v>
      </c>
      <c r="D32" s="373"/>
      <c r="E32" s="69"/>
      <c r="F32" s="69"/>
      <c r="G32" s="238"/>
      <c r="H32" s="99"/>
      <c r="I32" s="238"/>
      <c r="J32" s="238"/>
      <c r="K32" s="55"/>
      <c r="L32" s="305"/>
    </row>
    <row r="33" spans="1:12" x14ac:dyDescent="0.25">
      <c r="A33" s="64"/>
      <c r="B33" s="65"/>
      <c r="C33" s="189"/>
      <c r="D33" s="374"/>
      <c r="E33" s="54"/>
      <c r="F33" s="54"/>
      <c r="G33" s="54">
        <f>ROUND(C32*G31,2)</f>
        <v>21085.18</v>
      </c>
      <c r="H33" s="54">
        <f>ROUND(C32*H31,2)</f>
        <v>24097.35</v>
      </c>
      <c r="I33" s="54">
        <f>ROUND(C32*I31,2)</f>
        <v>19579.09</v>
      </c>
      <c r="J33" s="54">
        <f>ROUND(C32*J31,2)</f>
        <v>10542.59</v>
      </c>
      <c r="K33" s="55"/>
      <c r="L33" s="286"/>
    </row>
    <row r="34" spans="1:12" x14ac:dyDescent="0.25">
      <c r="A34" s="56"/>
      <c r="B34" s="57"/>
      <c r="C34" s="187"/>
      <c r="D34" s="375">
        <f>C35*100/C45</f>
        <v>6.3617265126015416</v>
      </c>
      <c r="E34" s="59"/>
      <c r="F34" s="60">
        <v>0.2</v>
      </c>
      <c r="G34" s="60">
        <v>0.21</v>
      </c>
      <c r="H34" s="60">
        <v>0.2</v>
      </c>
      <c r="I34" s="60">
        <v>0.21</v>
      </c>
      <c r="J34" s="60">
        <v>0.18</v>
      </c>
      <c r="K34" s="55"/>
      <c r="L34" s="286"/>
    </row>
    <row r="35" spans="1:12" x14ac:dyDescent="0.25">
      <c r="A35" s="64" t="s">
        <v>177</v>
      </c>
      <c r="B35" s="102" t="str">
        <f>Orçamento!D77</f>
        <v>INSTALAÇÕES HIDRÁULICAS</v>
      </c>
      <c r="C35" s="188">
        <f>Orçamento!H77</f>
        <v>33429.679999999993</v>
      </c>
      <c r="D35" s="375"/>
      <c r="E35" s="69"/>
      <c r="F35" s="62"/>
      <c r="G35" s="62"/>
      <c r="H35" s="251"/>
      <c r="I35" s="62"/>
      <c r="J35" s="251"/>
      <c r="K35" s="55"/>
      <c r="L35" s="305"/>
    </row>
    <row r="36" spans="1:12" x14ac:dyDescent="0.25">
      <c r="A36" s="64"/>
      <c r="B36" s="65"/>
      <c r="C36" s="189"/>
      <c r="D36" s="375"/>
      <c r="E36" s="252"/>
      <c r="F36" s="252">
        <f>ROUND(C35*F34,2)</f>
        <v>6685.94</v>
      </c>
      <c r="G36" s="252">
        <f>ROUND(C35*G34,2)</f>
        <v>7020.23</v>
      </c>
      <c r="H36" s="252">
        <f>ROUND(C35*H34,2)</f>
        <v>6685.94</v>
      </c>
      <c r="I36" s="252">
        <f>ROUND(C35*I34,2)</f>
        <v>7020.23</v>
      </c>
      <c r="J36" s="252">
        <f>ROUND(C35*J34,2)</f>
        <v>6017.34</v>
      </c>
      <c r="K36" s="55"/>
      <c r="L36" s="286"/>
    </row>
    <row r="37" spans="1:12" x14ac:dyDescent="0.25">
      <c r="A37" s="56"/>
      <c r="B37" s="57"/>
      <c r="C37" s="187"/>
      <c r="D37" s="375">
        <f>C38*100/C45</f>
        <v>13.846844202338335</v>
      </c>
      <c r="E37" s="59"/>
      <c r="F37" s="60">
        <v>0.31</v>
      </c>
      <c r="G37" s="60">
        <v>0.2</v>
      </c>
      <c r="H37" s="60">
        <v>0.19</v>
      </c>
      <c r="I37" s="60">
        <v>0.2</v>
      </c>
      <c r="J37" s="60">
        <v>0.1</v>
      </c>
      <c r="K37" s="55"/>
      <c r="L37" s="286"/>
    </row>
    <row r="38" spans="1:12" x14ac:dyDescent="0.25">
      <c r="A38" s="64" t="s">
        <v>185</v>
      </c>
      <c r="B38" s="102" t="str">
        <f>Orçamento!D111</f>
        <v>INSTALAÇÕES ELÉTRICAS</v>
      </c>
      <c r="C38" s="188">
        <f>Orçamento!H111</f>
        <v>72762.570000000007</v>
      </c>
      <c r="D38" s="375"/>
      <c r="E38" s="69"/>
      <c r="F38" s="62"/>
      <c r="G38" s="62"/>
      <c r="H38" s="251"/>
      <c r="I38" s="62"/>
      <c r="J38" s="251"/>
      <c r="K38" s="55"/>
      <c r="L38" s="305"/>
    </row>
    <row r="39" spans="1:12" x14ac:dyDescent="0.25">
      <c r="A39" s="64"/>
      <c r="B39" s="65"/>
      <c r="C39" s="189"/>
      <c r="D39" s="375"/>
      <c r="E39" s="252"/>
      <c r="F39" s="252">
        <f>ROUND(C38*F37,2)</f>
        <v>22556.400000000001</v>
      </c>
      <c r="G39" s="252">
        <f>ROUND(C38*G37,2)</f>
        <v>14552.51</v>
      </c>
      <c r="H39" s="252">
        <f>ROUND(C38*H37,2)</f>
        <v>13824.89</v>
      </c>
      <c r="I39" s="252">
        <f>ROUND(C38*I37,2)</f>
        <v>14552.51</v>
      </c>
      <c r="J39" s="252">
        <f>ROUND(C38*J37,2)</f>
        <v>7276.26</v>
      </c>
      <c r="K39" s="55"/>
      <c r="L39" s="286"/>
    </row>
    <row r="40" spans="1:12" x14ac:dyDescent="0.25">
      <c r="A40" s="56"/>
      <c r="B40" s="57"/>
      <c r="C40" s="187"/>
      <c r="D40" s="375">
        <f>C41*100/C45</f>
        <v>1.0305810150219441</v>
      </c>
      <c r="E40" s="59"/>
      <c r="F40" s="185"/>
      <c r="G40" s="185"/>
      <c r="H40" s="185"/>
      <c r="I40" s="185"/>
      <c r="J40" s="60">
        <v>1</v>
      </c>
      <c r="K40" s="55"/>
      <c r="L40" s="286"/>
    </row>
    <row r="41" spans="1:12" x14ac:dyDescent="0.25">
      <c r="A41" s="64" t="s">
        <v>496</v>
      </c>
      <c r="B41" s="102" t="str">
        <f>Orçamento!D141</f>
        <v>SERVIÇOS FINAIS</v>
      </c>
      <c r="C41" s="188">
        <f>Orçamento!H141</f>
        <v>5415.51</v>
      </c>
      <c r="D41" s="375"/>
      <c r="E41" s="69"/>
      <c r="F41" s="69"/>
      <c r="G41" s="69"/>
      <c r="H41" s="304"/>
      <c r="I41" s="69"/>
      <c r="J41" s="251"/>
      <c r="K41" s="55"/>
      <c r="L41" s="305"/>
    </row>
    <row r="42" spans="1:12" x14ac:dyDescent="0.25">
      <c r="A42" s="64"/>
      <c r="B42" s="65"/>
      <c r="C42" s="189"/>
      <c r="D42" s="375"/>
      <c r="E42" s="252"/>
      <c r="F42" s="252"/>
      <c r="G42" s="252"/>
      <c r="H42" s="252"/>
      <c r="I42" s="252"/>
      <c r="J42" s="252">
        <f>ROUND(C41*J40,2)</f>
        <v>5415.51</v>
      </c>
      <c r="K42" s="55"/>
      <c r="L42" s="286"/>
    </row>
    <row r="43" spans="1:12" x14ac:dyDescent="0.25">
      <c r="A43" s="71"/>
      <c r="B43" s="76"/>
      <c r="C43" s="191"/>
      <c r="D43" s="167">
        <v>1</v>
      </c>
      <c r="E43" s="73"/>
      <c r="F43" s="73"/>
      <c r="G43" s="253"/>
      <c r="H43" s="253"/>
      <c r="I43" s="253"/>
      <c r="J43" s="253"/>
      <c r="K43" s="55"/>
      <c r="L43" s="286"/>
    </row>
    <row r="44" spans="1:12" x14ac:dyDescent="0.25">
      <c r="A44" s="71"/>
      <c r="B44" s="72"/>
      <c r="C44" s="74"/>
      <c r="D44" s="75"/>
      <c r="E44" s="73"/>
      <c r="F44" s="73"/>
      <c r="G44" s="68"/>
      <c r="H44" s="68"/>
      <c r="I44" s="68"/>
      <c r="J44" s="68"/>
    </row>
    <row r="45" spans="1:12" x14ac:dyDescent="0.25">
      <c r="A45" s="71"/>
      <c r="B45" s="76" t="s">
        <v>102</v>
      </c>
      <c r="C45" s="77">
        <f>SUM(C13:C43)</f>
        <v>525481.25</v>
      </c>
      <c r="D45" s="78"/>
      <c r="E45" s="73"/>
      <c r="F45" s="73"/>
      <c r="G45" s="68"/>
      <c r="H45" s="68"/>
      <c r="I45" s="68"/>
      <c r="J45" s="68"/>
    </row>
    <row r="46" spans="1:12" x14ac:dyDescent="0.25">
      <c r="A46" s="371" t="s">
        <v>103</v>
      </c>
      <c r="B46" s="371"/>
      <c r="C46" s="79"/>
      <c r="D46" s="71"/>
      <c r="E46" s="290">
        <f>E15+E18+E21</f>
        <v>56133.81</v>
      </c>
      <c r="F46" s="290">
        <f>F39+F36+F21+F30+F18+F15</f>
        <v>88161.76999999999</v>
      </c>
      <c r="G46" s="291">
        <f>G39+G21+G33+G30+G36+G15</f>
        <v>93985.37</v>
      </c>
      <c r="H46" s="291">
        <f>H39+H36+H33+H30+H27+H15</f>
        <v>96856.819999999992</v>
      </c>
      <c r="I46" s="291">
        <f>I39+I36+I33+I30+I27+I24+I15</f>
        <v>92384.260000000009</v>
      </c>
      <c r="J46" s="291">
        <f>J39+J36+J33+J30+J27+J24+J15+J42</f>
        <v>97959.22</v>
      </c>
      <c r="K46" s="55"/>
    </row>
    <row r="47" spans="1:12" x14ac:dyDescent="0.25">
      <c r="A47" s="371" t="s">
        <v>104</v>
      </c>
      <c r="B47" s="371"/>
      <c r="C47" s="80"/>
      <c r="D47" s="71"/>
      <c r="E47" s="59">
        <f>E46/C45</f>
        <v>0.10682362120437218</v>
      </c>
      <c r="F47" s="59">
        <f>F46/C45</f>
        <v>0.16777338867942479</v>
      </c>
      <c r="G47" s="289">
        <f>G46/C45</f>
        <v>0.17885580122982503</v>
      </c>
      <c r="H47" s="289">
        <f>H46/C45</f>
        <v>0.18432022075002674</v>
      </c>
      <c r="I47" s="289">
        <f>I46/C45</f>
        <v>0.17580886092510439</v>
      </c>
      <c r="J47" s="289">
        <f>J46/C45</f>
        <v>0.18641810721124683</v>
      </c>
    </row>
    <row r="48" spans="1:12" x14ac:dyDescent="0.25">
      <c r="A48" s="371" t="s">
        <v>105</v>
      </c>
      <c r="B48" s="371"/>
      <c r="C48" s="80"/>
      <c r="D48" s="71"/>
      <c r="E48" s="290">
        <f>E46</f>
        <v>56133.81</v>
      </c>
      <c r="F48" s="292">
        <f t="shared" ref="F48" si="0">E48+F46</f>
        <v>144295.57999999999</v>
      </c>
      <c r="G48" s="293">
        <f t="shared" ref="G48:J49" si="1">F48+G46</f>
        <v>238280.94999999998</v>
      </c>
      <c r="H48" s="293">
        <f t="shared" si="1"/>
        <v>335137.76999999996</v>
      </c>
      <c r="I48" s="293">
        <f t="shared" si="1"/>
        <v>427522.02999999997</v>
      </c>
      <c r="J48" s="294">
        <f t="shared" si="1"/>
        <v>525481.25</v>
      </c>
    </row>
    <row r="49" spans="1:12" x14ac:dyDescent="0.25">
      <c r="A49" s="371" t="s">
        <v>106</v>
      </c>
      <c r="B49" s="371"/>
      <c r="C49" s="80"/>
      <c r="D49" s="71"/>
      <c r="E49" s="59">
        <f>E47</f>
        <v>0.10682362120437218</v>
      </c>
      <c r="F49" s="59">
        <f>E49+F47</f>
        <v>0.27459700988379698</v>
      </c>
      <c r="G49" s="289">
        <f t="shared" si="1"/>
        <v>0.45345281111362201</v>
      </c>
      <c r="H49" s="289">
        <f t="shared" si="1"/>
        <v>0.63777303186364875</v>
      </c>
      <c r="I49" s="289">
        <f t="shared" si="1"/>
        <v>0.81358189278875315</v>
      </c>
      <c r="J49" s="289">
        <f t="shared" si="1"/>
        <v>1</v>
      </c>
      <c r="K49" s="55"/>
    </row>
    <row r="53" spans="1:12" x14ac:dyDescent="0.25">
      <c r="K53" s="55"/>
    </row>
    <row r="54" spans="1:12" x14ac:dyDescent="0.25">
      <c r="K54" s="55"/>
    </row>
    <row r="56" spans="1:12" x14ac:dyDescent="0.25">
      <c r="L56" s="63"/>
    </row>
  </sheetData>
  <mergeCells count="22">
    <mergeCell ref="D40:D42"/>
    <mergeCell ref="B11:B12"/>
    <mergeCell ref="E11:J11"/>
    <mergeCell ref="D13:D15"/>
    <mergeCell ref="D16:D18"/>
    <mergeCell ref="D19:D21"/>
    <mergeCell ref="A1:J5"/>
    <mergeCell ref="A6:J7"/>
    <mergeCell ref="A47:B47"/>
    <mergeCell ref="A48:B48"/>
    <mergeCell ref="A49:B49"/>
    <mergeCell ref="D25:D27"/>
    <mergeCell ref="D28:D30"/>
    <mergeCell ref="D31:D33"/>
    <mergeCell ref="A46:B46"/>
    <mergeCell ref="D34:D36"/>
    <mergeCell ref="D37:D39"/>
    <mergeCell ref="D22:D24"/>
    <mergeCell ref="A8:J8"/>
    <mergeCell ref="A9:J9"/>
    <mergeCell ref="A10:J10"/>
    <mergeCell ref="A11:A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6" sqref="C6:K6"/>
    </sheetView>
  </sheetViews>
  <sheetFormatPr defaultRowHeight="15" x14ac:dyDescent="0.25"/>
  <sheetData>
    <row r="1" spans="1:11" s="83" customFormat="1" ht="14.25" x14ac:dyDescent="0.2">
      <c r="A1" s="81"/>
      <c r="B1" s="82"/>
      <c r="C1" s="386" t="s">
        <v>0</v>
      </c>
      <c r="D1" s="386"/>
      <c r="E1" s="386"/>
      <c r="F1" s="386"/>
      <c r="G1" s="386"/>
      <c r="H1" s="386"/>
      <c r="I1" s="386"/>
      <c r="J1" s="386"/>
      <c r="K1" s="387"/>
    </row>
    <row r="2" spans="1:11" s="83" customFormat="1" ht="14.25" x14ac:dyDescent="0.2">
      <c r="A2" s="84"/>
      <c r="B2" s="85"/>
      <c r="C2" s="388" t="s">
        <v>75</v>
      </c>
      <c r="D2" s="388"/>
      <c r="E2" s="388"/>
      <c r="F2" s="388"/>
      <c r="G2" s="388"/>
      <c r="H2" s="388"/>
      <c r="I2" s="388"/>
      <c r="J2" s="388"/>
      <c r="K2" s="389"/>
    </row>
    <row r="3" spans="1:11" s="83" customFormat="1" ht="14.25" x14ac:dyDescent="0.2">
      <c r="A3" s="84"/>
      <c r="B3" s="85"/>
      <c r="C3" s="390" t="str">
        <f>Orçamento!B8</f>
        <v xml:space="preserve">OBJETO: CONSTRUÇÃO E REFORMA DO PSF DE BARRA DE CATUAMA   </v>
      </c>
      <c r="D3" s="390"/>
      <c r="E3" s="390"/>
      <c r="F3" s="390"/>
      <c r="G3" s="390"/>
      <c r="H3" s="390"/>
      <c r="I3" s="390"/>
      <c r="J3" s="390"/>
      <c r="K3" s="391"/>
    </row>
    <row r="4" spans="1:11" s="83" customFormat="1" ht="14.25" x14ac:dyDescent="0.2">
      <c r="A4" s="84"/>
      <c r="B4" s="85"/>
      <c r="C4" s="390" t="str">
        <f>Orçamento!B9</f>
        <v>LOCAL: BARRA DE CATUAMA, GOIANA/PE</v>
      </c>
      <c r="D4" s="390"/>
      <c r="E4" s="390"/>
      <c r="F4" s="390"/>
      <c r="G4" s="390"/>
      <c r="H4" s="390"/>
      <c r="I4" s="390"/>
      <c r="J4" s="390"/>
      <c r="K4" s="391"/>
    </row>
    <row r="5" spans="1:11" s="83" customFormat="1" ht="14.25" x14ac:dyDescent="0.2">
      <c r="A5" s="84"/>
      <c r="B5" s="85"/>
      <c r="C5" s="390" t="str">
        <f>Orçamento!B10</f>
        <v>DATA: OUTUBRO 2019</v>
      </c>
      <c r="D5" s="390"/>
      <c r="E5" s="390"/>
      <c r="F5" s="390"/>
      <c r="G5" s="390"/>
      <c r="H5" s="390"/>
      <c r="I5" s="390"/>
      <c r="J5" s="390"/>
      <c r="K5" s="391"/>
    </row>
    <row r="6" spans="1:11" x14ac:dyDescent="0.25">
      <c r="A6" s="86"/>
      <c r="B6" s="87"/>
      <c r="C6" s="384"/>
      <c r="D6" s="384"/>
      <c r="E6" s="384"/>
      <c r="F6" s="384"/>
      <c r="G6" s="384"/>
      <c r="H6" s="384"/>
      <c r="I6" s="384"/>
      <c r="J6" s="384"/>
      <c r="K6" s="385"/>
    </row>
    <row r="7" spans="1:11" x14ac:dyDescent="0.25">
      <c r="A7" s="40"/>
      <c r="B7" s="88"/>
      <c r="C7" s="88"/>
      <c r="D7" s="88"/>
      <c r="E7" s="88"/>
      <c r="F7" s="88"/>
      <c r="G7" s="88"/>
      <c r="H7" s="88"/>
      <c r="I7" s="88"/>
      <c r="J7" s="88"/>
      <c r="K7" s="89"/>
    </row>
    <row r="8" spans="1:11" x14ac:dyDescent="0.25">
      <c r="A8" s="37"/>
      <c r="B8" s="42"/>
      <c r="C8" s="42"/>
      <c r="D8" s="42"/>
      <c r="E8" s="42"/>
      <c r="F8" s="42"/>
      <c r="G8" s="42"/>
      <c r="H8" s="42"/>
      <c r="I8" s="42"/>
      <c r="J8" s="42"/>
      <c r="K8" s="90"/>
    </row>
    <row r="9" spans="1:11" x14ac:dyDescent="0.25">
      <c r="A9" s="37"/>
      <c r="B9" s="42"/>
      <c r="C9" s="42"/>
      <c r="D9" s="42"/>
      <c r="E9" s="42"/>
      <c r="F9" s="42"/>
      <c r="G9" s="42"/>
      <c r="H9" s="42"/>
      <c r="I9" s="42"/>
      <c r="J9" s="42"/>
      <c r="K9" s="90"/>
    </row>
    <row r="10" spans="1:11" x14ac:dyDescent="0.25">
      <c r="A10" s="37"/>
      <c r="B10" s="42"/>
      <c r="C10" s="42"/>
      <c r="D10" s="42"/>
      <c r="E10" s="42"/>
      <c r="F10" s="42"/>
      <c r="G10" s="42"/>
      <c r="H10" s="42"/>
      <c r="I10" s="42"/>
      <c r="J10" s="42"/>
      <c r="K10" s="90"/>
    </row>
    <row r="11" spans="1:11" x14ac:dyDescent="0.25">
      <c r="A11" s="37"/>
      <c r="B11" s="42"/>
      <c r="C11" s="42"/>
      <c r="D11" s="42"/>
      <c r="E11" s="42"/>
      <c r="F11" s="42"/>
      <c r="G11" s="42"/>
      <c r="H11" s="42"/>
      <c r="I11" s="42"/>
      <c r="J11" s="42"/>
      <c r="K11" s="90"/>
    </row>
    <row r="12" spans="1:11" x14ac:dyDescent="0.25">
      <c r="A12" s="37"/>
      <c r="B12" s="42"/>
      <c r="C12" s="42"/>
      <c r="D12" s="42"/>
      <c r="E12" s="42"/>
      <c r="F12" s="42"/>
      <c r="G12" s="42"/>
      <c r="H12" s="42"/>
      <c r="I12" s="42"/>
      <c r="J12" s="42"/>
      <c r="K12" s="90"/>
    </row>
    <row r="13" spans="1:11" x14ac:dyDescent="0.25">
      <c r="A13" s="37"/>
      <c r="B13" s="42"/>
      <c r="C13" s="42"/>
      <c r="D13" s="42"/>
      <c r="E13" s="42"/>
      <c r="F13" s="42"/>
      <c r="G13" s="42"/>
      <c r="H13" s="42"/>
      <c r="I13" s="42"/>
      <c r="J13" s="42"/>
      <c r="K13" s="90"/>
    </row>
    <row r="14" spans="1:11" x14ac:dyDescent="0.25">
      <c r="A14" s="37"/>
      <c r="B14" s="42"/>
      <c r="C14" s="42"/>
      <c r="D14" s="42"/>
      <c r="E14" s="42"/>
      <c r="F14" s="42"/>
      <c r="G14" s="42"/>
      <c r="H14" s="42"/>
      <c r="I14" s="42"/>
      <c r="J14" s="42"/>
      <c r="K14" s="90"/>
    </row>
    <row r="15" spans="1:11" x14ac:dyDescent="0.25">
      <c r="A15" s="37"/>
      <c r="B15" s="42"/>
      <c r="C15" s="42"/>
      <c r="D15" s="42"/>
      <c r="E15" s="42"/>
      <c r="F15" s="42"/>
      <c r="G15" s="42"/>
      <c r="H15" s="42"/>
      <c r="I15" s="42"/>
      <c r="J15" s="42"/>
      <c r="K15" s="90"/>
    </row>
    <row r="16" spans="1:11" x14ac:dyDescent="0.25">
      <c r="A16" s="37"/>
      <c r="B16" s="42"/>
      <c r="C16" s="42"/>
      <c r="D16" s="42"/>
      <c r="E16" s="42"/>
      <c r="F16" s="42"/>
      <c r="G16" s="42"/>
      <c r="H16" s="42"/>
      <c r="I16" s="42"/>
      <c r="J16" s="42"/>
      <c r="K16" s="90"/>
    </row>
    <row r="17" spans="1:11" x14ac:dyDescent="0.25">
      <c r="A17" s="37"/>
      <c r="B17" s="42"/>
      <c r="C17" s="42"/>
      <c r="D17" s="42"/>
      <c r="E17" s="42"/>
      <c r="F17" s="42"/>
      <c r="G17" s="42"/>
      <c r="H17" s="42"/>
      <c r="I17" s="42"/>
      <c r="J17" s="42"/>
      <c r="K17" s="90"/>
    </row>
    <row r="18" spans="1:11" x14ac:dyDescent="0.25">
      <c r="A18" s="37"/>
      <c r="B18" s="42"/>
      <c r="C18" s="42"/>
      <c r="D18" s="42"/>
      <c r="E18" s="42"/>
      <c r="F18" s="42"/>
      <c r="G18" s="42"/>
      <c r="H18" s="42"/>
      <c r="I18" s="42"/>
      <c r="J18" s="42"/>
      <c r="K18" s="90"/>
    </row>
    <row r="19" spans="1:11" x14ac:dyDescent="0.25">
      <c r="A19" s="37"/>
      <c r="B19" s="42"/>
      <c r="C19" s="42"/>
      <c r="D19" s="42"/>
      <c r="E19" s="42"/>
      <c r="F19" s="42"/>
      <c r="G19" s="42"/>
      <c r="H19" s="42"/>
      <c r="I19" s="42"/>
      <c r="J19" s="42"/>
      <c r="K19" s="90"/>
    </row>
    <row r="20" spans="1:11" x14ac:dyDescent="0.25">
      <c r="A20" s="37"/>
      <c r="B20" s="42"/>
      <c r="C20" s="42"/>
      <c r="D20" s="42"/>
      <c r="E20" s="42"/>
      <c r="F20" s="42"/>
      <c r="G20" s="42"/>
      <c r="H20" s="42"/>
      <c r="I20" s="42"/>
      <c r="J20" s="42"/>
      <c r="K20" s="90"/>
    </row>
    <row r="21" spans="1:11" x14ac:dyDescent="0.25">
      <c r="A21" s="37"/>
      <c r="B21" s="42"/>
      <c r="C21" s="42"/>
      <c r="D21" s="42"/>
      <c r="E21" s="42"/>
      <c r="F21" s="42"/>
      <c r="G21" s="42"/>
      <c r="H21" s="42"/>
      <c r="I21" s="42"/>
      <c r="J21" s="42"/>
      <c r="K21" s="90"/>
    </row>
    <row r="22" spans="1:11" x14ac:dyDescent="0.25">
      <c r="A22" s="37"/>
      <c r="B22" s="42"/>
      <c r="C22" s="42"/>
      <c r="D22" s="42"/>
      <c r="E22" s="42"/>
      <c r="F22" s="42"/>
      <c r="G22" s="42"/>
      <c r="H22" s="42"/>
      <c r="I22" s="42"/>
      <c r="J22" s="42"/>
      <c r="K22" s="90"/>
    </row>
    <row r="23" spans="1:11" x14ac:dyDescent="0.25">
      <c r="A23" s="37"/>
      <c r="B23" s="42"/>
      <c r="C23" s="42"/>
      <c r="D23" s="42"/>
      <c r="E23" s="42"/>
      <c r="F23" s="42"/>
      <c r="G23" s="42"/>
      <c r="H23" s="42"/>
      <c r="I23" s="42"/>
      <c r="J23" s="42"/>
      <c r="K23" s="90"/>
    </row>
    <row r="24" spans="1:11" x14ac:dyDescent="0.25">
      <c r="A24" s="37"/>
      <c r="B24" s="42"/>
      <c r="C24" s="42"/>
      <c r="D24" s="42"/>
      <c r="E24" s="42"/>
      <c r="F24" s="42"/>
      <c r="G24" s="42"/>
      <c r="H24" s="42"/>
      <c r="I24" s="42"/>
      <c r="J24" s="42"/>
      <c r="K24" s="90"/>
    </row>
    <row r="25" spans="1:11" x14ac:dyDescent="0.25">
      <c r="A25" s="37"/>
      <c r="B25" s="42"/>
      <c r="C25" s="42"/>
      <c r="D25" s="42"/>
      <c r="E25" s="42"/>
      <c r="F25" s="42"/>
      <c r="G25" s="42"/>
      <c r="H25" s="42"/>
      <c r="I25" s="42"/>
      <c r="J25" s="42"/>
      <c r="K25" s="90"/>
    </row>
    <row r="26" spans="1:11" x14ac:dyDescent="0.25">
      <c r="A26" s="37"/>
      <c r="B26" s="42"/>
      <c r="C26" s="42"/>
      <c r="D26" s="42"/>
      <c r="E26" s="42"/>
      <c r="F26" s="42"/>
      <c r="G26" s="42"/>
      <c r="H26" s="42"/>
      <c r="I26" s="42"/>
      <c r="J26" s="42"/>
      <c r="K26" s="90"/>
    </row>
    <row r="27" spans="1:11" x14ac:dyDescent="0.25">
      <c r="A27" s="37"/>
      <c r="B27" s="42"/>
      <c r="C27" s="42"/>
      <c r="D27" s="42"/>
      <c r="E27" s="42"/>
      <c r="F27" s="42"/>
      <c r="G27" s="42"/>
      <c r="H27" s="42"/>
      <c r="I27" s="42"/>
      <c r="J27" s="42"/>
      <c r="K27" s="90"/>
    </row>
    <row r="28" spans="1:11" x14ac:dyDescent="0.25">
      <c r="A28" s="37"/>
      <c r="B28" s="42"/>
      <c r="C28" s="42"/>
      <c r="D28" s="42"/>
      <c r="E28" s="42"/>
      <c r="F28" s="42"/>
      <c r="G28" s="42"/>
      <c r="H28" s="42"/>
      <c r="I28" s="42"/>
      <c r="J28" s="42"/>
      <c r="K28" s="90"/>
    </row>
    <row r="29" spans="1:11" x14ac:dyDescent="0.25">
      <c r="A29" s="37"/>
      <c r="B29" s="42"/>
      <c r="C29" s="42"/>
      <c r="D29" s="42"/>
      <c r="E29" s="42"/>
      <c r="F29" s="42"/>
      <c r="G29" s="42"/>
      <c r="H29" s="42"/>
      <c r="I29" s="42"/>
      <c r="J29" s="42"/>
      <c r="K29" s="90"/>
    </row>
    <row r="30" spans="1:11" x14ac:dyDescent="0.25">
      <c r="A30" s="37"/>
      <c r="B30" s="42"/>
      <c r="C30" s="42"/>
      <c r="D30" s="42"/>
      <c r="E30" s="42"/>
      <c r="F30" s="42"/>
      <c r="G30" s="42"/>
      <c r="H30" s="42"/>
      <c r="I30" s="42"/>
      <c r="J30" s="42"/>
      <c r="K30" s="90"/>
    </row>
    <row r="31" spans="1:11" x14ac:dyDescent="0.25">
      <c r="A31" s="37"/>
      <c r="B31" s="42"/>
      <c r="C31" s="42"/>
      <c r="D31" s="42"/>
      <c r="E31" s="42"/>
      <c r="F31" s="42"/>
      <c r="G31" s="42"/>
      <c r="H31" s="42"/>
      <c r="I31" s="42"/>
      <c r="J31" s="42"/>
      <c r="K31" s="90"/>
    </row>
    <row r="32" spans="1:11" x14ac:dyDescent="0.25">
      <c r="A32" s="40"/>
      <c r="B32" s="88"/>
      <c r="C32" s="88"/>
      <c r="D32" s="88"/>
      <c r="E32" s="88"/>
      <c r="F32" s="88"/>
      <c r="G32" s="88"/>
      <c r="H32" s="88"/>
      <c r="I32" s="88"/>
      <c r="J32" s="88"/>
      <c r="K32" s="89"/>
    </row>
  </sheetData>
  <mergeCells count="6">
    <mergeCell ref="C6:K6"/>
    <mergeCell ref="C1:K1"/>
    <mergeCell ref="C2:K2"/>
    <mergeCell ref="C3:K3"/>
    <mergeCell ref="C4:K4"/>
    <mergeCell ref="C5:K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5"/>
  <sheetViews>
    <sheetView topLeftCell="A128" zoomScale="85" zoomScaleNormal="85" workbookViewId="0">
      <selection activeCell="M141" sqref="M141"/>
    </sheetView>
  </sheetViews>
  <sheetFormatPr defaultRowHeight="15" x14ac:dyDescent="0.25"/>
  <cols>
    <col min="2" max="2" width="5.7109375" customWidth="1"/>
    <col min="3" max="3" width="13.5703125" customWidth="1"/>
    <col min="4" max="4" width="36" customWidth="1"/>
    <col min="5" max="6" width="8.7109375" customWidth="1"/>
    <col min="7" max="7" width="18.5703125" customWidth="1"/>
    <col min="10" max="10" width="11.42578125" customWidth="1"/>
  </cols>
  <sheetData>
    <row r="1" spans="2:13" ht="15.75" thickBot="1" x14ac:dyDescent="0.3"/>
    <row r="2" spans="2:13" x14ac:dyDescent="0.25">
      <c r="B2" s="168"/>
      <c r="C2" s="169"/>
      <c r="D2" s="398" t="s">
        <v>0</v>
      </c>
      <c r="E2" s="398"/>
      <c r="F2" s="398"/>
      <c r="G2" s="398"/>
      <c r="H2" s="398"/>
      <c r="I2" s="398"/>
      <c r="J2" s="399"/>
    </row>
    <row r="3" spans="2:13" x14ac:dyDescent="0.25">
      <c r="B3" s="170"/>
      <c r="C3" s="85"/>
      <c r="D3" s="388" t="s">
        <v>75</v>
      </c>
      <c r="E3" s="388"/>
      <c r="F3" s="388"/>
      <c r="G3" s="388"/>
      <c r="H3" s="388"/>
      <c r="I3" s="388"/>
      <c r="J3" s="400"/>
    </row>
    <row r="4" spans="2:13" x14ac:dyDescent="0.25">
      <c r="B4" s="170"/>
      <c r="C4" s="85"/>
      <c r="D4" s="390" t="str">
        <f>Orçamento!B8</f>
        <v xml:space="preserve">OBJETO: CONSTRUÇÃO E REFORMA DO PSF DE BARRA DE CATUAMA   </v>
      </c>
      <c r="E4" s="390"/>
      <c r="F4" s="390"/>
      <c r="G4" s="390"/>
      <c r="H4" s="390"/>
      <c r="I4" s="390"/>
      <c r="J4" s="401"/>
    </row>
    <row r="5" spans="2:13" x14ac:dyDescent="0.25">
      <c r="B5" s="170"/>
      <c r="C5" s="85"/>
      <c r="D5" s="390" t="str">
        <f>Orçamento!B9</f>
        <v>LOCAL: BARRA DE CATUAMA, GOIANA/PE</v>
      </c>
      <c r="E5" s="390"/>
      <c r="F5" s="390"/>
      <c r="G5" s="390"/>
      <c r="H5" s="390"/>
      <c r="I5" s="390"/>
      <c r="J5" s="401"/>
    </row>
    <row r="6" spans="2:13" x14ac:dyDescent="0.25">
      <c r="B6" s="170"/>
      <c r="C6" s="85"/>
      <c r="D6" s="390" t="str">
        <f>Orçamento!B10</f>
        <v>DATA: OUTUBRO 2019</v>
      </c>
      <c r="E6" s="390"/>
      <c r="F6" s="390"/>
      <c r="G6" s="390"/>
      <c r="H6" s="390"/>
      <c r="I6" s="390"/>
      <c r="J6" s="401"/>
    </row>
    <row r="7" spans="2:13" ht="15.75" thickBot="1" x14ac:dyDescent="0.3">
      <c r="B7" s="170"/>
      <c r="C7" s="85"/>
      <c r="D7" s="402"/>
      <c r="E7" s="402"/>
      <c r="F7" s="402"/>
      <c r="G7" s="402"/>
      <c r="H7" s="402"/>
      <c r="I7" s="402"/>
      <c r="J7" s="403"/>
    </row>
    <row r="8" spans="2:13" x14ac:dyDescent="0.25">
      <c r="B8" s="395" t="s">
        <v>107</v>
      </c>
      <c r="C8" s="396"/>
      <c r="D8" s="396"/>
      <c r="E8" s="396"/>
      <c r="F8" s="396"/>
      <c r="G8" s="396"/>
      <c r="H8" s="396"/>
      <c r="I8" s="396"/>
      <c r="J8" s="397"/>
    </row>
    <row r="9" spans="2:13" ht="22.5" x14ac:dyDescent="0.25">
      <c r="B9" s="91" t="s">
        <v>3</v>
      </c>
      <c r="C9" s="92" t="s">
        <v>108</v>
      </c>
      <c r="D9" s="92" t="s">
        <v>4</v>
      </c>
      <c r="E9" s="92" t="s">
        <v>78</v>
      </c>
      <c r="F9" s="92" t="s">
        <v>135</v>
      </c>
      <c r="G9" s="254" t="s">
        <v>426</v>
      </c>
      <c r="H9" s="254" t="s">
        <v>427</v>
      </c>
      <c r="I9" s="255" t="s">
        <v>428</v>
      </c>
      <c r="J9" s="93" t="s">
        <v>7</v>
      </c>
    </row>
    <row r="10" spans="2:13" x14ac:dyDescent="0.25">
      <c r="B10" s="256" t="s">
        <v>59</v>
      </c>
      <c r="C10" s="200"/>
      <c r="D10" s="200" t="s">
        <v>170</v>
      </c>
      <c r="E10" s="257"/>
      <c r="F10" s="202"/>
      <c r="G10" s="258"/>
      <c r="H10" s="258"/>
      <c r="I10" s="258"/>
      <c r="J10" s="94"/>
    </row>
    <row r="11" spans="2:13" ht="38.25" x14ac:dyDescent="0.25">
      <c r="B11" s="259" t="s">
        <v>60</v>
      </c>
      <c r="C11" s="24" t="s">
        <v>171</v>
      </c>
      <c r="D11" s="24" t="s">
        <v>172</v>
      </c>
      <c r="E11" s="260" t="s">
        <v>80</v>
      </c>
      <c r="F11" s="261">
        <v>66</v>
      </c>
      <c r="G11" s="262">
        <v>22</v>
      </c>
      <c r="H11" s="263">
        <v>6</v>
      </c>
      <c r="I11" s="263">
        <v>0.5</v>
      </c>
      <c r="J11" s="264">
        <f>G11*H11*I11</f>
        <v>66</v>
      </c>
    </row>
    <row r="12" spans="2:13" ht="26.25" thickBot="1" x14ac:dyDescent="0.3">
      <c r="B12" s="265" t="s">
        <v>61</v>
      </c>
      <c r="C12" s="266" t="s">
        <v>429</v>
      </c>
      <c r="D12" s="266" t="s">
        <v>174</v>
      </c>
      <c r="E12" s="267" t="s">
        <v>80</v>
      </c>
      <c r="F12" s="131">
        <v>858</v>
      </c>
      <c r="G12" s="268">
        <v>22</v>
      </c>
      <c r="H12" s="269">
        <v>6</v>
      </c>
      <c r="I12" s="269">
        <v>6.5</v>
      </c>
      <c r="J12" s="264">
        <f>G12*H12*I12</f>
        <v>858</v>
      </c>
    </row>
    <row r="13" spans="2:13" ht="15.75" thickBot="1" x14ac:dyDescent="0.3">
      <c r="B13" s="392"/>
      <c r="C13" s="393"/>
      <c r="D13" s="393"/>
      <c r="E13" s="393"/>
      <c r="F13" s="393"/>
      <c r="G13" s="393"/>
      <c r="H13" s="393"/>
      <c r="I13" s="393"/>
      <c r="J13" s="394"/>
    </row>
    <row r="14" spans="2:13" x14ac:dyDescent="0.25">
      <c r="B14" s="128" t="s">
        <v>3</v>
      </c>
      <c r="C14" s="129" t="s">
        <v>115</v>
      </c>
      <c r="D14" s="129" t="s">
        <v>4</v>
      </c>
      <c r="E14" s="130" t="s">
        <v>78</v>
      </c>
      <c r="F14" s="131" t="s">
        <v>430</v>
      </c>
      <c r="G14" s="254" t="s">
        <v>109</v>
      </c>
      <c r="H14" s="254" t="s">
        <v>110</v>
      </c>
      <c r="I14" s="254" t="s">
        <v>111</v>
      </c>
      <c r="J14" s="93" t="s">
        <v>7</v>
      </c>
    </row>
    <row r="15" spans="2:13" ht="23.25" customHeight="1" x14ac:dyDescent="0.25">
      <c r="B15" s="205" t="s">
        <v>13</v>
      </c>
      <c r="C15" s="206"/>
      <c r="D15" s="207" t="s">
        <v>8</v>
      </c>
      <c r="E15" s="1" t="s">
        <v>9</v>
      </c>
      <c r="F15" s="208"/>
      <c r="G15" s="270"/>
      <c r="H15" s="270"/>
      <c r="I15" s="270"/>
      <c r="J15" s="271"/>
      <c r="M15" s="96"/>
    </row>
    <row r="16" spans="2:13" ht="25.5" x14ac:dyDescent="0.25">
      <c r="B16" s="138" t="str">
        <f>Orçamento!B19</f>
        <v>2.1</v>
      </c>
      <c r="C16" s="2" t="str">
        <f>Orçamento!C19</f>
        <v>SINAPI/19 74209/001</v>
      </c>
      <c r="D16" s="2" t="str">
        <f>Orçamento!D19</f>
        <v>PLACA DE OBRA EM CHAPA DE ACO GALVANIZADO</v>
      </c>
      <c r="E16" s="3" t="str">
        <f>Orçamento!E19</f>
        <v>M2</v>
      </c>
      <c r="F16" s="31">
        <f>Orçamento!F19</f>
        <v>6</v>
      </c>
      <c r="G16" s="272">
        <v>3</v>
      </c>
      <c r="H16" s="272">
        <v>2</v>
      </c>
      <c r="I16" s="272"/>
      <c r="J16" s="273">
        <f>G16*H16</f>
        <v>6</v>
      </c>
      <c r="M16" s="96"/>
    </row>
    <row r="17" spans="2:16" ht="25.5" x14ac:dyDescent="0.25">
      <c r="B17" s="138" t="str">
        <f>Orçamento!B20</f>
        <v>2.2</v>
      </c>
      <c r="C17" s="2" t="str">
        <f>Orçamento!C20</f>
        <v>SINAPI/19 73859/002</v>
      </c>
      <c r="D17" s="2" t="str">
        <f>Orçamento!D20</f>
        <v>CAPINA E LIMPEZA MANUAL DE TERRENO</v>
      </c>
      <c r="E17" s="3" t="str">
        <f>Orçamento!E20</f>
        <v>M2</v>
      </c>
      <c r="F17" s="31">
        <f>Orçamento!F20</f>
        <v>361.86</v>
      </c>
      <c r="G17" s="272">
        <f>20.04+4.66</f>
        <v>24.7</v>
      </c>
      <c r="H17" s="272">
        <f>14+0.65</f>
        <v>14.65</v>
      </c>
      <c r="I17" s="272"/>
      <c r="J17" s="273">
        <f t="shared" ref="J17:J73" si="0">G17*H17</f>
        <v>361.85500000000002</v>
      </c>
      <c r="M17" s="96"/>
    </row>
    <row r="18" spans="2:16" ht="51" x14ac:dyDescent="0.25">
      <c r="B18" s="138" t="str">
        <f>Orçamento!B21</f>
        <v>2.3</v>
      </c>
      <c r="C18" s="2" t="str">
        <f>Orçamento!C21</f>
        <v xml:space="preserve">SINAPI/19   97622 </v>
      </c>
      <c r="D18" s="2" t="str">
        <f>Orçamento!D21</f>
        <v>DEMOLIÇÃO DE ALVENARIA DE BLOCO FURADO, DE FORMA MANUAL, SEM REAPROVEITAMENTO. AF_12/2017</v>
      </c>
      <c r="E18" s="3" t="str">
        <f>Orçamento!E21</f>
        <v>M3</v>
      </c>
      <c r="F18" s="31">
        <f>Orçamento!F21</f>
        <v>47.47</v>
      </c>
      <c r="G18" s="272">
        <v>113.02</v>
      </c>
      <c r="H18" s="272">
        <v>0.15</v>
      </c>
      <c r="I18" s="272">
        <v>2.8</v>
      </c>
      <c r="J18" s="273">
        <f>G18*H18*I18</f>
        <v>47.468399999999995</v>
      </c>
      <c r="M18" s="96"/>
    </row>
    <row r="19" spans="2:16" ht="38.25" x14ac:dyDescent="0.25">
      <c r="B19" s="138" t="str">
        <f>Orçamento!B22</f>
        <v>2.4</v>
      </c>
      <c r="C19" s="2" t="str">
        <f>Orçamento!C22</f>
        <v>SINAPI/19   97631</v>
      </c>
      <c r="D19" s="2" t="str">
        <f>Orçamento!D22</f>
        <v xml:space="preserve">DEMOLIÇÃO DE ARGAMASSAS, DE FORMA MANUAL, SEM REAPROVEITAMENTO. </v>
      </c>
      <c r="E19" s="3" t="str">
        <f>Orçamento!E22</f>
        <v>M2</v>
      </c>
      <c r="F19" s="31">
        <f>Orçamento!F22</f>
        <v>822.72</v>
      </c>
      <c r="G19" s="272">
        <v>40.29</v>
      </c>
      <c r="H19" s="272">
        <v>20.420000000000002</v>
      </c>
      <c r="I19" s="272"/>
      <c r="J19" s="273">
        <f t="shared" si="0"/>
        <v>822.72180000000003</v>
      </c>
      <c r="M19" s="96"/>
    </row>
    <row r="20" spans="2:16" ht="25.5" x14ac:dyDescent="0.25">
      <c r="B20" s="138" t="str">
        <f>Orçamento!B23</f>
        <v>2.5</v>
      </c>
      <c r="C20" s="2" t="str">
        <f>Orçamento!C23</f>
        <v>SINAPI/19   72897</v>
      </c>
      <c r="D20" s="2" t="str">
        <f>Orçamento!D23</f>
        <v>CARGA MANUAL DE ENTULHO EM CAMINHAO BASCULANTE 6 M3</v>
      </c>
      <c r="E20" s="3" t="str">
        <f>Orçamento!E23</f>
        <v>M3</v>
      </c>
      <c r="F20" s="31">
        <f>Orçamento!F23</f>
        <v>83.57</v>
      </c>
      <c r="G20" s="272">
        <v>30.95</v>
      </c>
      <c r="H20" s="272">
        <v>6</v>
      </c>
      <c r="I20" s="272">
        <v>0.45</v>
      </c>
      <c r="J20" s="273">
        <f>G20*H20*I20</f>
        <v>83.564999999999998</v>
      </c>
    </row>
    <row r="21" spans="2:16" ht="51" x14ac:dyDescent="0.25">
      <c r="B21" s="138" t="str">
        <f>Orçamento!B24</f>
        <v>2.6</v>
      </c>
      <c r="C21" s="2" t="str">
        <f>Orçamento!C24</f>
        <v>SINAPI/19   72900</v>
      </c>
      <c r="D21" s="2" t="str">
        <f>Orçamento!D24</f>
        <v>TRANSPORTE DE ENTULHO COM CAMINHAO BASCULANTE 6 M3, RODOVIA PAVIMENTADA, DMT 0,5 A 1,0 KM</v>
      </c>
      <c r="E21" s="3" t="str">
        <f>Orçamento!E24</f>
        <v>M3</v>
      </c>
      <c r="F21" s="31">
        <f>Orçamento!F24</f>
        <v>83.57</v>
      </c>
      <c r="G21" s="272">
        <v>30.95</v>
      </c>
      <c r="H21" s="272">
        <v>6</v>
      </c>
      <c r="I21" s="272">
        <v>0.45</v>
      </c>
      <c r="J21" s="273">
        <f>G21*H21*I21</f>
        <v>83.564999999999998</v>
      </c>
    </row>
    <row r="22" spans="2:16" ht="63.75" x14ac:dyDescent="0.25">
      <c r="B22" s="138" t="str">
        <f>Orçamento!B25</f>
        <v>2.7</v>
      </c>
      <c r="C22" s="2" t="str">
        <f>Orçamento!C25</f>
        <v xml:space="preserve">EMLURB -18  04.03.039 </v>
      </c>
      <c r="D22" s="2" t="str">
        <f>Orçamento!D25</f>
        <v xml:space="preserve">REMOCAO DE MATERIAL DE PRIMEIRA CATEGORIA EM CAMINHAO BASCULANTE, D.M.T. 2 KM, INCLUSIVE CARGA MANUAL E DESCARGA MECANICA. </v>
      </c>
      <c r="E22" s="3" t="str">
        <f>Orçamento!E25</f>
        <v>M3</v>
      </c>
      <c r="F22" s="31">
        <f>Orçamento!F25</f>
        <v>36.76</v>
      </c>
      <c r="G22" s="272">
        <v>20.02</v>
      </c>
      <c r="H22" s="272">
        <v>15.3</v>
      </c>
      <c r="I22" s="272">
        <v>0.12</v>
      </c>
      <c r="J22" s="273">
        <f>G22*H22*I22</f>
        <v>36.756719999999994</v>
      </c>
    </row>
    <row r="23" spans="2:16" ht="51" x14ac:dyDescent="0.25">
      <c r="B23" s="138" t="str">
        <f>Orçamento!B26</f>
        <v>2.8</v>
      </c>
      <c r="C23" s="2" t="str">
        <f>Orçamento!C26</f>
        <v xml:space="preserve">EMLURB -18  03.01.070 </v>
      </c>
      <c r="D23" s="2" t="str">
        <f>Orçamento!D26</f>
        <v xml:space="preserve">DEMOLICAO DE REVESTIMENTO DE PISO EM 
CIMENTADO INCLUSIVE LASTRO DE CONCRETO. </v>
      </c>
      <c r="E23" s="3" t="str">
        <f>Orçamento!E26</f>
        <v>M2</v>
      </c>
      <c r="F23" s="31">
        <f>Orçamento!F26</f>
        <v>178.73</v>
      </c>
      <c r="G23" s="272">
        <v>16.989999999999998</v>
      </c>
      <c r="H23" s="272">
        <v>10.52</v>
      </c>
      <c r="I23" s="272"/>
      <c r="J23" s="273">
        <f t="shared" si="0"/>
        <v>178.73479999999998</v>
      </c>
    </row>
    <row r="24" spans="2:16" ht="63.75" x14ac:dyDescent="0.25">
      <c r="B24" s="138" t="str">
        <f>Orçamento!B27</f>
        <v>2.9</v>
      </c>
      <c r="C24" s="2" t="str">
        <f>Orçamento!C27</f>
        <v>EMLURB -18  03.02.060</v>
      </c>
      <c r="D24" s="2" t="str">
        <f>Orçamento!D27</f>
        <v>TOMBAMENTO MECANICO DE ARVORES COM DIAMETRO DE 0,15 A 0,30 M, INCLUSIVE O DESTOCAMENTO E LIMPEZA DO LOCAL.</v>
      </c>
      <c r="E24" s="3" t="str">
        <f>Orçamento!E27</f>
        <v>UNID</v>
      </c>
      <c r="F24" s="31">
        <f>Orçamento!F27</f>
        <v>2</v>
      </c>
      <c r="G24" s="272"/>
      <c r="H24" s="272"/>
      <c r="I24" s="272"/>
      <c r="J24" s="273">
        <v>2</v>
      </c>
      <c r="N24" s="106"/>
    </row>
    <row r="25" spans="2:16" ht="51" x14ac:dyDescent="0.25">
      <c r="B25" s="138" t="str">
        <f>Orçamento!B28</f>
        <v>2.10</v>
      </c>
      <c r="C25" s="2" t="str">
        <f>Orçamento!C28</f>
        <v>SINAPI/19   97662</v>
      </c>
      <c r="D25" s="2" t="str">
        <f>Orçamento!D28</f>
        <v>REMOÇÃO DE TUBULAÇÕES (TUBOS E CONEXÕES) DE ÁGUA FRIA, DE FORMA MANUAL, SEM REAPROVEITAMENTO. AF_12/2017</v>
      </c>
      <c r="E25" s="3" t="str">
        <f>Orçamento!E28</f>
        <v>M</v>
      </c>
      <c r="F25" s="31">
        <f>Orçamento!F28</f>
        <v>150</v>
      </c>
      <c r="G25" s="272"/>
      <c r="H25" s="272"/>
      <c r="I25" s="272"/>
      <c r="J25" s="273">
        <v>150</v>
      </c>
    </row>
    <row r="26" spans="2:16" ht="38.25" x14ac:dyDescent="0.25">
      <c r="B26" s="138" t="str">
        <f>Orçamento!B29</f>
        <v>2.11</v>
      </c>
      <c r="C26" s="2" t="str">
        <f>Orçamento!C29</f>
        <v xml:space="preserve">EMLURB -18  03.03.040 </v>
      </c>
      <c r="D26" s="2" t="str">
        <f>Orçamento!D29</f>
        <v>FORNECIMENTO E ASSENTAMENTO DE TAPUME EM CHAPAS DE MADEIRA COMPENSADA DE 6 MM.</v>
      </c>
      <c r="E26" s="3" t="str">
        <f>Orçamento!E29</f>
        <v>M2</v>
      </c>
      <c r="F26" s="31">
        <f>Orçamento!F29</f>
        <v>138.76</v>
      </c>
      <c r="G26" s="272">
        <f>20.5+20.5+14.19+14.19</f>
        <v>69.38</v>
      </c>
      <c r="H26" s="272">
        <v>2</v>
      </c>
      <c r="I26" s="272"/>
      <c r="J26" s="273">
        <f t="shared" si="0"/>
        <v>138.76</v>
      </c>
    </row>
    <row r="27" spans="2:16" ht="51" x14ac:dyDescent="0.25">
      <c r="B27" s="138" t="str">
        <f>Orçamento!B30</f>
        <v>2.12</v>
      </c>
      <c r="C27" s="2" t="str">
        <f>Orçamento!C30</f>
        <v>SINAPI/19   97637</v>
      </c>
      <c r="D27" s="2" t="str">
        <f>Orçamento!D30</f>
        <v>REMOÇÃO DE TAPUME/ CHAPAS METÁLICAS E DE MADEIRA, DE FORMA MANUAL, SEM REAPROVEITAMENTO. AF_12/201</v>
      </c>
      <c r="E27" s="3" t="str">
        <f>Orçamento!E30</f>
        <v>M2</v>
      </c>
      <c r="F27" s="31">
        <f>Orçamento!F30</f>
        <v>138.76</v>
      </c>
      <c r="G27" s="272">
        <f>20.5+20.5+14.19+14.19</f>
        <v>69.38</v>
      </c>
      <c r="H27" s="272">
        <v>2</v>
      </c>
      <c r="I27" s="272"/>
      <c r="J27" s="273">
        <f t="shared" si="0"/>
        <v>138.76</v>
      </c>
    </row>
    <row r="28" spans="2:16" x14ac:dyDescent="0.25">
      <c r="B28" s="278" t="str">
        <f>Orçamento!B31</f>
        <v>3.0</v>
      </c>
      <c r="C28" s="175"/>
      <c r="D28" s="175" t="str">
        <f>Orçamento!D31</f>
        <v>ALVENARIA E FUNDAÇÕES</v>
      </c>
      <c r="E28" s="279" t="str">
        <f>Orçamento!E31</f>
        <v/>
      </c>
      <c r="F28" s="280"/>
      <c r="G28" s="281"/>
      <c r="H28" s="281"/>
      <c r="I28" s="281"/>
      <c r="J28" s="282"/>
    </row>
    <row r="29" spans="2:16" ht="102" x14ac:dyDescent="0.25">
      <c r="B29" s="138" t="str">
        <f>Orçamento!B32</f>
        <v>3.1</v>
      </c>
      <c r="C29" s="2" t="str">
        <f>Orçamento!C32</f>
        <v xml:space="preserve">SINAPI/19    89168 </v>
      </c>
      <c r="D29" s="2" t="str">
        <f>Orçamento!D32</f>
        <v>(COMPOSIÇÃO REPRESENTATIVA) DO SERVIÇO DE ALVENARIA DE VEDAÇÃO DE BLOCOS VAZADOS DE CERÂMICA DE 9X19X19CM (ESPESSURA 9CM), PARA EDIFICAÇÃO HABITACIONAL UNIFAMILIAR (CASA) E EDIFICAÇÃO PÚBLICA PADRÃO. AF_11/2014</v>
      </c>
      <c r="E29" s="3" t="str">
        <f>Orçamento!E32</f>
        <v>M2</v>
      </c>
      <c r="F29" s="31">
        <f>Orçamento!F32</f>
        <v>269.86</v>
      </c>
      <c r="G29" s="272">
        <v>96.38</v>
      </c>
      <c r="H29" s="272">
        <v>2.8</v>
      </c>
      <c r="I29" s="272"/>
      <c r="J29" s="273">
        <f t="shared" si="0"/>
        <v>269.86399999999998</v>
      </c>
    </row>
    <row r="30" spans="2:16" ht="63.75" x14ac:dyDescent="0.25">
      <c r="B30" s="138" t="str">
        <f>Orçamento!B33</f>
        <v>3.2</v>
      </c>
      <c r="C30" s="2" t="str">
        <f>Orçamento!C33</f>
        <v>EMLURB -18        06.03.103</v>
      </c>
      <c r="D30" s="2" t="str">
        <f>Orçamento!D33</f>
        <v>CONCRETO ARMADO PRONTO, FCK 25 MPA CONDICAO A (NBR 12655), LANCADO EM FUNDACOES E ADENSADO, INCLUSIVE FORMA, ESCORAMENTO E FERRAGEM.</v>
      </c>
      <c r="E30" s="3" t="str">
        <f>Orçamento!E33</f>
        <v>M3</v>
      </c>
      <c r="F30" s="31">
        <f>Orçamento!F33</f>
        <v>7.38</v>
      </c>
      <c r="G30" s="272">
        <v>8</v>
      </c>
      <c r="H30" s="272">
        <v>2.0499999999999998</v>
      </c>
      <c r="I30" s="272">
        <v>0.45</v>
      </c>
      <c r="J30" s="273">
        <f>G30*H30*I30</f>
        <v>7.38</v>
      </c>
    </row>
    <row r="31" spans="2:16" ht="25.5" x14ac:dyDescent="0.25">
      <c r="B31" s="138" t="str">
        <f>Orçamento!B34</f>
        <v>3.3</v>
      </c>
      <c r="C31" s="2" t="str">
        <f>Orçamento!C34</f>
        <v>SINAPI/19         97082</v>
      </c>
      <c r="D31" s="2" t="str">
        <f>Orçamento!D34</f>
        <v>ESCAVAÇÃO MANUAL DE VIGA DE BORDA PARA RADIER. AF_09/2017</v>
      </c>
      <c r="E31" s="3" t="str">
        <f>Orçamento!E34</f>
        <v>M3</v>
      </c>
      <c r="F31" s="31">
        <f>Orçamento!F34</f>
        <v>3.43</v>
      </c>
      <c r="G31" s="272">
        <v>42.92</v>
      </c>
      <c r="H31" s="272">
        <v>0.4</v>
      </c>
      <c r="I31" s="272">
        <v>0.2</v>
      </c>
      <c r="J31" s="273">
        <f>G31*H31*I31</f>
        <v>3.4336000000000007</v>
      </c>
      <c r="P31" s="142"/>
    </row>
    <row r="32" spans="2:16" ht="51.75" customHeight="1" x14ac:dyDescent="0.25">
      <c r="B32" s="138" t="str">
        <f>Orçamento!B35</f>
        <v>3.4</v>
      </c>
      <c r="C32" s="2" t="str">
        <f>Orçamento!C35</f>
        <v>SINAPI/19         96523</v>
      </c>
      <c r="D32" s="2" t="str">
        <f>Orçamento!D35</f>
        <v>ESCAVAÇÃO MANUAL PARA BLOCO DE COROAMENTO OU SAPATA, COM PREVISÃO DE FÔRMA. AF_06/201</v>
      </c>
      <c r="E32" s="3" t="str">
        <f>Orçamento!E35</f>
        <v>M3</v>
      </c>
      <c r="F32" s="31">
        <f>Orçamento!F35</f>
        <v>2</v>
      </c>
      <c r="G32" s="272">
        <v>8</v>
      </c>
      <c r="H32" s="272">
        <v>0.5</v>
      </c>
      <c r="I32" s="272">
        <v>0.5</v>
      </c>
      <c r="J32" s="273">
        <f>G32*H32*I32</f>
        <v>2</v>
      </c>
      <c r="P32" s="142"/>
    </row>
    <row r="33" spans="2:13" ht="51" x14ac:dyDescent="0.25">
      <c r="B33" s="138" t="str">
        <f>Orçamento!B36</f>
        <v>3.5</v>
      </c>
      <c r="C33" s="2" t="str">
        <f>Orçamento!C36</f>
        <v>SINAPI/19         97086</v>
      </c>
      <c r="D33" s="2" t="str">
        <f>Orçamento!D36</f>
        <v>FABRICAÇÃO, MONTAGEM E DESMONTAGEM DE FORMA PARA RADIER, EM MADEIRA SERRADA, 4 UTILIZAÇÕES. AF_09/2017</v>
      </c>
      <c r="E33" s="3" t="str">
        <f>Orçamento!E36</f>
        <v>M2</v>
      </c>
      <c r="F33" s="31">
        <f>Orçamento!F36</f>
        <v>17.07</v>
      </c>
      <c r="G33" s="272">
        <v>5.35</v>
      </c>
      <c r="H33" s="272">
        <v>3.19</v>
      </c>
      <c r="I33" s="272"/>
      <c r="J33" s="273">
        <f t="shared" si="0"/>
        <v>17.066499999999998</v>
      </c>
    </row>
    <row r="34" spans="2:13" ht="63.75" x14ac:dyDescent="0.25">
      <c r="B34" s="138" t="str">
        <f>Orçamento!B37</f>
        <v>3.6</v>
      </c>
      <c r="C34" s="2" t="str">
        <f>Orçamento!C37</f>
        <v>SINAPI/19         97096</v>
      </c>
      <c r="D34" s="2" t="str">
        <f>Orçamento!D37</f>
        <v xml:space="preserve"> CONCRETAGEM DE RADIER, PISO OU LAJE SOBRE SOLO, FCK 30 MPA, PARA ESPESSURA DE 20 CM - LANÇAMENTO, ADENSAMENTO E ACABAMENTO. AF_09/2017</v>
      </c>
      <c r="E34" s="3" t="str">
        <f>Orçamento!E37</f>
        <v>M3</v>
      </c>
      <c r="F34" s="31">
        <f>Orçamento!F37</f>
        <v>3.43</v>
      </c>
      <c r="G34" s="272">
        <v>42.92</v>
      </c>
      <c r="H34" s="272">
        <v>0.4</v>
      </c>
      <c r="I34" s="272">
        <v>0.2</v>
      </c>
      <c r="J34" s="273">
        <f>G34*H34*I34</f>
        <v>3.4336000000000007</v>
      </c>
    </row>
    <row r="35" spans="2:13" ht="63.75" x14ac:dyDescent="0.25">
      <c r="B35" s="138" t="str">
        <f>Orçamento!B38</f>
        <v>3.7</v>
      </c>
      <c r="C35" s="2" t="str">
        <f>Orçamento!C38</f>
        <v>SINAPI/19         96385</v>
      </c>
      <c r="D35" s="2" t="str">
        <f>Orçamento!D38</f>
        <v>EXECUÇÃO E COMPACTAÇÃO DE ATERRO COM SOLO PREDOMINANTEMENTE ARGILOSO - EXCLUSIVE ESCAVAÇÃO, CARGA E TRANSPORTE E SOLO. AF_09/2017</v>
      </c>
      <c r="E35" s="3" t="str">
        <f>Orçamento!E38</f>
        <v>M3</v>
      </c>
      <c r="F35" s="31">
        <f>Orçamento!F38</f>
        <v>160</v>
      </c>
      <c r="G35" s="272">
        <v>20</v>
      </c>
      <c r="H35" s="272">
        <v>20</v>
      </c>
      <c r="I35" s="272">
        <v>0.4</v>
      </c>
      <c r="J35" s="273">
        <f>G35*H35*I35</f>
        <v>160</v>
      </c>
    </row>
    <row r="36" spans="2:13" ht="51" x14ac:dyDescent="0.25">
      <c r="B36" s="138" t="str">
        <f>Orçamento!B39</f>
        <v>3.8</v>
      </c>
      <c r="C36" s="2" t="str">
        <f>Orçamento!C39</f>
        <v>SINAPI/19        95241</v>
      </c>
      <c r="D36" s="2" t="str">
        <f>Orçamento!D39</f>
        <v>LASTRO DE CONCRETO, E = 5 CM, PREPARO MECÂNICO, INCLUSOS LANÇAMENTO E ADENSAMENTO. AF_07_2016</v>
      </c>
      <c r="E36" s="3" t="str">
        <f>Orçamento!E39</f>
        <v>M2</v>
      </c>
      <c r="F36" s="31">
        <f>Orçamento!F39</f>
        <v>17.07</v>
      </c>
      <c r="G36" s="272">
        <v>5.35</v>
      </c>
      <c r="H36" s="272">
        <v>3.19</v>
      </c>
      <c r="I36" s="272"/>
      <c r="J36" s="273">
        <f t="shared" si="0"/>
        <v>17.066499999999998</v>
      </c>
    </row>
    <row r="37" spans="2:13" ht="51" x14ac:dyDescent="0.25">
      <c r="B37" s="138" t="str">
        <f>Orçamento!B40</f>
        <v>3.9</v>
      </c>
      <c r="C37" s="2" t="str">
        <f>Orçamento!C40</f>
        <v>SINAPI/19    73937/001</v>
      </c>
      <c r="D37" s="2" t="str">
        <f>Orçamento!D40</f>
        <v>COBOGO DE CONCRETO (ELEMENTO VAZADO), 7X50X50CM, ASSENTADO COM ARGAMASSA TRACO 1:4 (CIMENTO E AREIA)</v>
      </c>
      <c r="E37" s="3" t="str">
        <f>Orçamento!E40</f>
        <v>M2</v>
      </c>
      <c r="F37" s="31">
        <f>Orçamento!F40</f>
        <v>18.3</v>
      </c>
      <c r="G37" s="272">
        <f>1.2+1.2+1.2+1.2+1.2</f>
        <v>6</v>
      </c>
      <c r="H37" s="272">
        <f>0.6+0.6+0.6+0.6+0.65</f>
        <v>3.05</v>
      </c>
      <c r="I37" s="272"/>
      <c r="J37" s="273">
        <f t="shared" si="0"/>
        <v>18.299999999999997</v>
      </c>
    </row>
    <row r="38" spans="2:13" x14ac:dyDescent="0.25">
      <c r="B38" s="278" t="str">
        <f>Orçamento!B41</f>
        <v>4.0</v>
      </c>
      <c r="C38" s="175"/>
      <c r="D38" s="175" t="str">
        <f>Orçamento!D41</f>
        <v>PINTURA</v>
      </c>
      <c r="E38" s="279" t="str">
        <f>Orçamento!E41</f>
        <v/>
      </c>
      <c r="F38" s="280"/>
      <c r="G38" s="281"/>
      <c r="H38" s="281"/>
      <c r="I38" s="281"/>
      <c r="J38" s="282"/>
    </row>
    <row r="39" spans="2:13" ht="51" x14ac:dyDescent="0.25">
      <c r="B39" s="138" t="str">
        <f>Orçamento!B42</f>
        <v>4.1</v>
      </c>
      <c r="C39" s="2" t="str">
        <f>Orçamento!C42</f>
        <v>SINAPI/19   88489</v>
      </c>
      <c r="D39" s="2" t="str">
        <f>Orçamento!D42</f>
        <v>APLICAÇÃO MANUAL DE PINTURA COM TINTA LÁTEX ACRÍLICA EM PAREDES, DUAS DEMÃOS. AF_06/2014</v>
      </c>
      <c r="E39" s="3" t="str">
        <f>Orçamento!E42</f>
        <v>M2</v>
      </c>
      <c r="F39" s="31">
        <f>Orçamento!F42</f>
        <v>279.3</v>
      </c>
      <c r="G39" s="272">
        <v>93.1</v>
      </c>
      <c r="H39" s="272">
        <v>3</v>
      </c>
      <c r="I39" s="272"/>
      <c r="J39" s="273">
        <f t="shared" si="0"/>
        <v>279.29999999999995</v>
      </c>
    </row>
    <row r="40" spans="2:13" ht="38.25" x14ac:dyDescent="0.25">
      <c r="B40" s="138" t="str">
        <f>Orçamento!B43</f>
        <v>4.2</v>
      </c>
      <c r="C40" s="2" t="str">
        <f>Orçamento!C43</f>
        <v>SINAPI/19   88486</v>
      </c>
      <c r="D40" s="2" t="str">
        <f>Orçamento!D43</f>
        <v>APLICAÇÃO MANUAL DE PINTURA COM TINTA LÁTEX PVA EM TETO, DUAS DEMÃOS. AF_06/2014</v>
      </c>
      <c r="E40" s="3" t="str">
        <f>Orçamento!E43</f>
        <v>M2</v>
      </c>
      <c r="F40" s="31">
        <f>Orçamento!F43</f>
        <v>282.41000000000003</v>
      </c>
      <c r="G40" s="272">
        <v>19.93</v>
      </c>
      <c r="H40" s="272">
        <v>14.17</v>
      </c>
      <c r="I40" s="272"/>
      <c r="J40" s="273">
        <f t="shared" ref="J40" si="1">G40*H40</f>
        <v>282.40809999999999</v>
      </c>
    </row>
    <row r="41" spans="2:13" ht="25.5" x14ac:dyDescent="0.25">
      <c r="B41" s="138" t="str">
        <f>Orçamento!B44</f>
        <v>4.3</v>
      </c>
      <c r="C41" s="2" t="str">
        <f>Orçamento!C44</f>
        <v xml:space="preserve">SINAPI/19    79460 </v>
      </c>
      <c r="D41" s="2" t="str">
        <f>Orçamento!D44</f>
        <v>PINTURA EPOXI, DUAS DEMAOS</v>
      </c>
      <c r="E41" s="3" t="str">
        <f>Orçamento!E44</f>
        <v>M2</v>
      </c>
      <c r="F41" s="31">
        <f>Orçamento!F44</f>
        <v>464.38</v>
      </c>
      <c r="G41" s="272">
        <v>354.49</v>
      </c>
      <c r="H41" s="272">
        <v>1.31</v>
      </c>
      <c r="I41" s="272"/>
      <c r="J41" s="273">
        <f t="shared" si="0"/>
        <v>464.38190000000003</v>
      </c>
    </row>
    <row r="42" spans="2:13" ht="25.5" x14ac:dyDescent="0.25">
      <c r="B42" s="138" t="str">
        <f>Orçamento!B45</f>
        <v>4.4</v>
      </c>
      <c r="C42" s="2" t="str">
        <f>Orçamento!C45</f>
        <v>SINAPI/19    84659</v>
      </c>
      <c r="D42" s="2" t="str">
        <f>Orçamento!D45</f>
        <v>PINTURA ESMALTE FOSCO EM MADEIRA, DUAS DEMAOS</v>
      </c>
      <c r="E42" s="3" t="str">
        <f>Orçamento!E45</f>
        <v>M2</v>
      </c>
      <c r="F42" s="31">
        <f>Orçamento!F45</f>
        <v>68.64</v>
      </c>
      <c r="G42" s="272">
        <v>20.43</v>
      </c>
      <c r="H42" s="272">
        <v>3.36</v>
      </c>
      <c r="I42" s="272"/>
      <c r="J42" s="273">
        <f t="shared" si="0"/>
        <v>68.644800000000004</v>
      </c>
    </row>
    <row r="43" spans="2:13" ht="38.25" x14ac:dyDescent="0.25">
      <c r="B43" s="138" t="str">
        <f>Orçamento!B46</f>
        <v>4.5</v>
      </c>
      <c r="C43" s="2" t="str">
        <f>Orçamento!C46</f>
        <v xml:space="preserve">SINAPI/19     73924/002    </v>
      </c>
      <c r="D43" s="2" t="str">
        <f>Orçamento!D46</f>
        <v>PINTURA ESMALTE ACETINADO, DUAS DEMAOS, SOBRE SUPERFICIE METALICA</v>
      </c>
      <c r="E43" s="3" t="str">
        <f>Orçamento!E46</f>
        <v>M2</v>
      </c>
      <c r="F43" s="31">
        <f>Orçamento!F46</f>
        <v>55.8</v>
      </c>
      <c r="G43" s="272">
        <v>10</v>
      </c>
      <c r="H43" s="272">
        <v>5.58</v>
      </c>
      <c r="I43" s="272"/>
      <c r="J43" s="273">
        <f t="shared" si="0"/>
        <v>55.8</v>
      </c>
    </row>
    <row r="44" spans="2:13" ht="51" x14ac:dyDescent="0.25">
      <c r="B44" s="138" t="str">
        <f>Orçamento!B47</f>
        <v>4.6</v>
      </c>
      <c r="C44" s="2" t="str">
        <f>Orçamento!C47</f>
        <v>SINAPI/19   96135</v>
      </c>
      <c r="D44" s="2" t="str">
        <f>Orçamento!D47</f>
        <v>APLICAÇÃO MANUAL DE MASSA ACRÍLICA EM PAREDES INTERNAS E EXTERNAS DE CASAS, DUAS DEMÃOS.</v>
      </c>
      <c r="E44" s="3" t="str">
        <f>Orçamento!E47</f>
        <v>M2</v>
      </c>
      <c r="F44" s="31">
        <f>Orçamento!F47</f>
        <v>743.69</v>
      </c>
      <c r="G44" s="272">
        <v>345.9</v>
      </c>
      <c r="H44" s="272">
        <v>2.15</v>
      </c>
      <c r="I44" s="272"/>
      <c r="J44" s="273">
        <f t="shared" si="0"/>
        <v>743.68499999999995</v>
      </c>
    </row>
    <row r="45" spans="2:13" x14ac:dyDescent="0.25">
      <c r="B45" s="278" t="str">
        <f>Orçamento!B48</f>
        <v>5.0</v>
      </c>
      <c r="C45" s="175"/>
      <c r="D45" s="175" t="str">
        <f>Orçamento!D48</f>
        <v>ESQUADRIA</v>
      </c>
      <c r="E45" s="279" t="str">
        <f>Orçamento!E48</f>
        <v/>
      </c>
      <c r="F45" s="280"/>
      <c r="G45" s="281"/>
      <c r="H45" s="281"/>
      <c r="I45" s="281"/>
      <c r="J45" s="282"/>
    </row>
    <row r="46" spans="2:13" ht="127.5" x14ac:dyDescent="0.25">
      <c r="B46" s="138" t="str">
        <f>Orçamento!B49</f>
        <v>5.1</v>
      </c>
      <c r="C46" s="2" t="str">
        <f>Orçamento!C49</f>
        <v>SINAPI/19  90843</v>
      </c>
      <c r="D46" s="2" t="str">
        <f>Orçamento!D49</f>
        <v>KIT DE PORTA DE MADEIRA PARA PINTURA, SEMI-OCA (LEVE OU MÉDIA), PADRÃO MÉDIO, 80X210CM, ESPESSURA DE 3,5CM, ITENS INCLUSOS: DOBRADIÇAS, MONTAGEM E INSTALAÇÃO DO BATENTE, FECHADURA COM EXECUÇÃO DO FURO - FORNECIMENTO E INSTALAÇÃO. AF_08/2015</v>
      </c>
      <c r="E46" s="3" t="str">
        <f>Orçamento!E49</f>
        <v>UNID</v>
      </c>
      <c r="F46" s="31">
        <f>Orçamento!F49</f>
        <v>14</v>
      </c>
      <c r="G46" s="272"/>
      <c r="H46" s="272"/>
      <c r="I46" s="272"/>
      <c r="J46" s="273">
        <v>14</v>
      </c>
    </row>
    <row r="47" spans="2:13" ht="63.75" x14ac:dyDescent="0.25">
      <c r="B47" s="138" t="str">
        <f>Orçamento!B50</f>
        <v>5.2</v>
      </c>
      <c r="C47" s="2" t="str">
        <f>Orçamento!C50</f>
        <v>SINAPI/19   94569</v>
      </c>
      <c r="D47" s="2" t="str">
        <f>Orçamento!D50</f>
        <v>JANELA DE ALUMÍNIO MAXIMAR, FIXAÇÃO COM PARAFUSO SOBRE CONTRAMARCO (E XCLUSIVE CONTRAMARCO), COM VIDROS, PADRONIZADA. AF_07/2016</v>
      </c>
      <c r="E47" s="3" t="str">
        <f>Orçamento!E50</f>
        <v>M2</v>
      </c>
      <c r="F47" s="31">
        <f>Orçamento!F50</f>
        <v>1.96</v>
      </c>
      <c r="G47" s="272">
        <f>0.7*0.4</f>
        <v>0.27999999999999997</v>
      </c>
      <c r="H47" s="272">
        <v>7</v>
      </c>
      <c r="I47" s="272"/>
      <c r="J47" s="273">
        <f t="shared" si="0"/>
        <v>1.9599999999999997</v>
      </c>
      <c r="M47" s="285"/>
    </row>
    <row r="48" spans="2:13" ht="51" x14ac:dyDescent="0.25">
      <c r="B48" s="138" t="str">
        <f>Orçamento!B51</f>
        <v>5.3</v>
      </c>
      <c r="C48" s="2" t="str">
        <f>Orçamento!C51</f>
        <v>SINAPI/19  84845</v>
      </c>
      <c r="D48" s="2" t="str">
        <f>Orçamento!D51</f>
        <v xml:space="preserve">JANELA DE MADEIRA TIPO VENEZIANA. DE ABRIR, INCLUSAS GUARNICOES E FERRAGENS
</v>
      </c>
      <c r="E48" s="3" t="str">
        <f>Orçamento!E51</f>
        <v>M2</v>
      </c>
      <c r="F48" s="31">
        <f>Orçamento!F51</f>
        <v>10.8</v>
      </c>
      <c r="G48" s="272">
        <f>1*1.2</f>
        <v>1.2</v>
      </c>
      <c r="H48" s="272">
        <v>9</v>
      </c>
      <c r="I48" s="272"/>
      <c r="J48" s="273">
        <f t="shared" si="0"/>
        <v>10.799999999999999</v>
      </c>
    </row>
    <row r="49" spans="2:10" ht="63.75" x14ac:dyDescent="0.25">
      <c r="B49" s="138" t="str">
        <f>Orçamento!B52</f>
        <v>5.4</v>
      </c>
      <c r="C49" s="2" t="str">
        <f>Orçamento!C52</f>
        <v>SINAPI/19  99861</v>
      </c>
      <c r="D49" s="2" t="str">
        <f>Orçamento!D52</f>
        <v xml:space="preserve">GRADIL EM FERRO FIXADO EM VÃOS DE JANELAS, FORMADO POR BARRAS CHATAS DE 25X4,8 MM. AF_04/2019
</v>
      </c>
      <c r="E49" s="3" t="str">
        <f>Orçamento!E52</f>
        <v>M2</v>
      </c>
      <c r="F49" s="31">
        <f>Orçamento!F52</f>
        <v>15.66</v>
      </c>
      <c r="G49" s="272">
        <f>1.74</f>
        <v>1.74</v>
      </c>
      <c r="H49" s="272">
        <v>9</v>
      </c>
      <c r="I49" s="272"/>
      <c r="J49" s="273">
        <f t="shared" si="0"/>
        <v>15.66</v>
      </c>
    </row>
    <row r="50" spans="2:10" ht="51" x14ac:dyDescent="0.25">
      <c r="B50" s="138" t="str">
        <f>Orçamento!B53</f>
        <v>5.5</v>
      </c>
      <c r="C50" s="2" t="str">
        <f>Orçamento!C53</f>
        <v>SINAPI/19  73838/001</v>
      </c>
      <c r="D50" s="2" t="str">
        <f>Orçamento!D53</f>
        <v xml:space="preserve">PORTA DE VIDRO TEMPERADO, 0,9X2,10M, ESPESSURA 10MM, INCLUSIVE ACESSORIOS
</v>
      </c>
      <c r="E50" s="3" t="str">
        <f>Orçamento!E53</f>
        <v>UNID</v>
      </c>
      <c r="F50" s="31">
        <f>Orçamento!F53</f>
        <v>1</v>
      </c>
      <c r="G50" s="272"/>
      <c r="H50" s="272"/>
      <c r="I50" s="272"/>
      <c r="J50" s="273">
        <v>1</v>
      </c>
    </row>
    <row r="51" spans="2:10" ht="89.25" x14ac:dyDescent="0.25">
      <c r="B51" s="138" t="str">
        <f>Orçamento!B54</f>
        <v>5.6</v>
      </c>
      <c r="C51" s="2" t="str">
        <f>Orçamento!C54</f>
        <v>EMLURB -18        09.02.020</v>
      </c>
      <c r="D51" s="2" t="str">
        <f>Orçamento!D54</f>
        <v>GRADE DE PROTECAO DE PORTA EM FERRO C/ VAROES
DE 1/2", ESPAC=10CM E ACABAMENTO EM BARRA CHATA DE 1" X 1/4", INCLUSIVE FECHADURA DE SOBREPOR BRASIL OU SIMILAR E ASSENTAMENTO.</v>
      </c>
      <c r="E51" s="3" t="str">
        <f>Orçamento!E54</f>
        <v>M2</v>
      </c>
      <c r="F51" s="31">
        <f>Orçamento!F54</f>
        <v>20.75</v>
      </c>
      <c r="G51" s="272">
        <v>5.2</v>
      </c>
      <c r="H51" s="272">
        <v>3.99</v>
      </c>
      <c r="I51" s="272"/>
      <c r="J51" s="273">
        <f t="shared" si="0"/>
        <v>20.748000000000001</v>
      </c>
    </row>
    <row r="52" spans="2:10" ht="51" x14ac:dyDescent="0.25">
      <c r="B52" s="138" t="str">
        <f>Orçamento!B55</f>
        <v>5.7</v>
      </c>
      <c r="C52" s="2" t="str">
        <f>Orçamento!C55</f>
        <v>SINAPI/19     72120</v>
      </c>
      <c r="D52" s="2" t="str">
        <f>Orçamento!D55</f>
        <v>VIDRO TEMPERADO INCOLOR, ESPESSURA 10MM, FORNECIMENTO E INSTALACAO, INCLUSIVE MASSA PARA VEDACAO</v>
      </c>
      <c r="E52" s="3" t="str">
        <f>Orçamento!E55</f>
        <v>M2</v>
      </c>
      <c r="F52" s="31">
        <f>Orçamento!F55</f>
        <v>1</v>
      </c>
      <c r="G52" s="272">
        <v>0.5</v>
      </c>
      <c r="H52" s="272">
        <v>2</v>
      </c>
      <c r="I52" s="272"/>
      <c r="J52" s="273">
        <f t="shared" si="0"/>
        <v>1</v>
      </c>
    </row>
    <row r="53" spans="2:10" ht="51" x14ac:dyDescent="0.25">
      <c r="B53" s="138" t="str">
        <f>Orçamento!B56</f>
        <v>5.8</v>
      </c>
      <c r="C53" s="2" t="str">
        <f>Orçamento!C56</f>
        <v>EMLURB -18 09.02.040</v>
      </c>
      <c r="D53" s="2" t="str">
        <f>Orçamento!D56</f>
        <v>PORTAO EM CHAPA DE FERRO N.16, GALVANIZADA, INCLUSIVE FECHADURA DE SOBREPOR BRASIL OU SIM E ASSENTAMENTO.</v>
      </c>
      <c r="E53" s="3" t="str">
        <f>Orçamento!E56</f>
        <v>M2</v>
      </c>
      <c r="F53" s="31">
        <f>Orçamento!F56</f>
        <v>7.15</v>
      </c>
      <c r="G53" s="272">
        <v>2.2000000000000002</v>
      </c>
      <c r="H53" s="272">
        <v>3.25</v>
      </c>
      <c r="I53" s="272"/>
      <c r="J53" s="273">
        <f t="shared" si="0"/>
        <v>7.15</v>
      </c>
    </row>
    <row r="54" spans="2:10" x14ac:dyDescent="0.25">
      <c r="B54" s="278" t="str">
        <f>Orçamento!B57</f>
        <v>6.0</v>
      </c>
      <c r="C54" s="175"/>
      <c r="D54" s="175" t="str">
        <f>Orçamento!D57</f>
        <v>REVESTIMENTOS E PISOS</v>
      </c>
      <c r="E54" s="279" t="str">
        <f>Orçamento!E57</f>
        <v/>
      </c>
      <c r="F54" s="280"/>
      <c r="G54" s="281"/>
      <c r="H54" s="281"/>
      <c r="I54" s="281"/>
      <c r="J54" s="282"/>
    </row>
    <row r="55" spans="2:10" ht="76.5" x14ac:dyDescent="0.25">
      <c r="B55" s="138" t="str">
        <f>Orçamento!B58</f>
        <v>6.1</v>
      </c>
      <c r="C55" s="2" t="str">
        <f>Orçamento!C58</f>
        <v xml:space="preserve"> SINAPI/19        87878</v>
      </c>
      <c r="D55" s="2" t="str">
        <f>Orçamento!D58</f>
        <v>CHAPISCO APLICADO EM ALVENARIAS E ESTRUTURAS DE CONCRETO INTERNAS, COM COLHER DE PEDREIRO. ARGAMASSA TRAÇO 1:3 COM PREPARO MANUAL. AF_06/2014</v>
      </c>
      <c r="E55" s="3" t="str">
        <f>Orçamento!E58</f>
        <v>M2</v>
      </c>
      <c r="F55" s="31">
        <f>Orçamento!F58</f>
        <v>1301.43</v>
      </c>
      <c r="G55" s="272">
        <f>10+10+30.1+30.49+20.5+19.5+11</f>
        <v>131.59</v>
      </c>
      <c r="H55" s="272">
        <f>1.2+1.1+2.5+1.59+1.5+0.5+1.5</f>
        <v>9.89</v>
      </c>
      <c r="I55" s="272"/>
      <c r="J55" s="273">
        <f t="shared" si="0"/>
        <v>1301.4251000000002</v>
      </c>
    </row>
    <row r="56" spans="2:10" ht="89.25" x14ac:dyDescent="0.25">
      <c r="B56" s="138" t="str">
        <f>Orçamento!B59</f>
        <v>6.2</v>
      </c>
      <c r="C56" s="2" t="str">
        <f>Orçamento!C59</f>
        <v xml:space="preserve"> SINAPI/19        87530</v>
      </c>
      <c r="D56" s="2" t="str">
        <f>Orçamento!D59</f>
        <v>MASSA ÚNICA, PARA RECEBIMENTO DE PINTURA, EM ARGAMASSA TRAÇO 1:2:8, PREPARO MANUAL, APLICADA MANUALMENTE EM FACES INTERNAS DE PAREDES, ESPESSURA DE 20MM, COM EXECUÇÃO DE TALISCAS.</v>
      </c>
      <c r="E56" s="3" t="str">
        <f>Orçamento!E59</f>
        <v>M2</v>
      </c>
      <c r="F56" s="31">
        <f>Orçamento!F59</f>
        <v>1301.43</v>
      </c>
      <c r="G56" s="272">
        <f>10+10+30.1+30.49+20.5+19.5+11</f>
        <v>131.59</v>
      </c>
      <c r="H56" s="272">
        <f>1.2+1.1+2.5+1.59+1.5+0.5+1.5</f>
        <v>9.89</v>
      </c>
      <c r="I56" s="272"/>
      <c r="J56" s="273">
        <f t="shared" ref="J56" si="2">G56*H56</f>
        <v>1301.4251000000002</v>
      </c>
    </row>
    <row r="57" spans="2:10" ht="102" x14ac:dyDescent="0.25">
      <c r="B57" s="138" t="str">
        <f>Orçamento!B60</f>
        <v>6.3</v>
      </c>
      <c r="C57" s="2" t="str">
        <f>Orçamento!C60</f>
        <v xml:space="preserve"> SINAPI/19        87528 </v>
      </c>
      <c r="D57" s="2" t="str">
        <f>Orçamento!D60</f>
        <v>EMBOÇO, PARA RECEBIMENTO DE CERÂMICA, EM ARGAMASSA TRAÇO 1:2:8, PREPARO MANUAL, APLICADO MANUALMENTE EM FACES INTERNAS DE PAREDES, PARA AMBIENTE COM ÁREA MENOR QUE 5M2, ESPESSURA DE 20MM, COM EXECUÇÃO DE TALISCAS. AF_06/2014</v>
      </c>
      <c r="E57" s="3" t="str">
        <f>Orçamento!E60</f>
        <v>M2</v>
      </c>
      <c r="F57" s="31">
        <f>Orçamento!F60</f>
        <v>288.98</v>
      </c>
      <c r="G57" s="272">
        <v>20.76</v>
      </c>
      <c r="H57" s="272">
        <v>13.92</v>
      </c>
      <c r="I57" s="272"/>
      <c r="J57" s="273">
        <f t="shared" si="0"/>
        <v>288.97920000000005</v>
      </c>
    </row>
    <row r="58" spans="2:10" ht="102" x14ac:dyDescent="0.25">
      <c r="B58" s="138" t="str">
        <f>Orçamento!B61</f>
        <v>6.4</v>
      </c>
      <c r="C58" s="2" t="str">
        <f>Orçamento!C61</f>
        <v xml:space="preserve"> SINAPI/19        87532 </v>
      </c>
      <c r="D58" s="2" t="str">
        <f>Orçamento!D61</f>
        <v>EMBOÇO, PARA RECEBIMENTO DE CERÂMICA, EM ARGAMASSA TRAÇO 1:2:8, PREPARO MANUAL, APLICADO MANUALMENTE EM FACES INTERNAS DE PAREDES, PARA AMBIENTE COM ÁREA ENTRE 5M2 E 10M2, ESPESSURA DE 20MM, COM EXECUÇÃO DE TALISCAS. AF_06/2014</v>
      </c>
      <c r="E58" s="3" t="str">
        <f>Orçamento!E61</f>
        <v>M2</v>
      </c>
      <c r="F58" s="31">
        <f>Orçamento!F61</f>
        <v>396.63</v>
      </c>
      <c r="G58" s="272">
        <v>21.13</v>
      </c>
      <c r="H58" s="272">
        <v>19.149999999999999</v>
      </c>
      <c r="I58" s="272"/>
      <c r="J58" s="273">
        <f t="shared" si="0"/>
        <v>404.63949999999994</v>
      </c>
    </row>
    <row r="59" spans="2:10" ht="63.75" x14ac:dyDescent="0.25">
      <c r="B59" s="138" t="str">
        <f>Orçamento!B62</f>
        <v>6.5</v>
      </c>
      <c r="C59" s="2" t="str">
        <f>Orçamento!C62</f>
        <v>SINAPI/19   87248</v>
      </c>
      <c r="D59" s="2" t="str">
        <f>Orçamento!D62</f>
        <v xml:space="preserve"> REVESTIMENTO CERÂMICO PARA PISO COM PLACAS TIPO ESMALTADA EXTRA DE DIM ENSÕES 35X35 CM APLICADA EM AMBIENTES DE ÁREA MAIOR QUE 10 M2. AF_06/2014 </v>
      </c>
      <c r="E59" s="3" t="str">
        <f>Orçamento!E62</f>
        <v>M2</v>
      </c>
      <c r="F59" s="31">
        <f>Orçamento!F62</f>
        <v>266.77999999999997</v>
      </c>
      <c r="G59" s="272">
        <v>25.05</v>
      </c>
      <c r="H59" s="272">
        <v>10.65</v>
      </c>
      <c r="I59" s="272"/>
      <c r="J59" s="273">
        <f t="shared" si="0"/>
        <v>266.78250000000003</v>
      </c>
    </row>
    <row r="60" spans="2:10" ht="102" x14ac:dyDescent="0.25">
      <c r="B60" s="138" t="str">
        <f>Orçamento!B63</f>
        <v>6.6</v>
      </c>
      <c r="C60" s="2" t="str">
        <f>Orçamento!C63</f>
        <v xml:space="preserve">SINAPI/19   87265 </v>
      </c>
      <c r="D60" s="2" t="str">
        <f>Orçamento!D63</f>
        <v>REVESTIMENTO CERÂMICO PARA PAREDES INTERNAS COM PLACAS TIPO ESMALTADA  EXTRA DE DIMENSÕES 20X20 CM APLICADAS EM AMBIENTES DE ÁREA MAIOR QUE 5
 M² NA ALTURA INTEIRA DAS PAREDES. AF_06/2014</v>
      </c>
      <c r="E60" s="3" t="str">
        <f>Orçamento!E63</f>
        <v>M2</v>
      </c>
      <c r="F60" s="31">
        <f>Orçamento!F63</f>
        <v>229.85</v>
      </c>
      <c r="G60" s="272">
        <v>19.170000000000002</v>
      </c>
      <c r="H60" s="272">
        <v>11.99</v>
      </c>
      <c r="I60" s="272"/>
      <c r="J60" s="273">
        <f t="shared" si="0"/>
        <v>229.84830000000002</v>
      </c>
    </row>
    <row r="61" spans="2:10" ht="102" x14ac:dyDescent="0.25">
      <c r="B61" s="295" t="str">
        <f>Orçamento!B64</f>
        <v>6.7</v>
      </c>
      <c r="C61" s="296" t="str">
        <f>Orçamento!C64</f>
        <v>SINAPI/19   87267</v>
      </c>
      <c r="D61" s="296" t="str">
        <f>Orçamento!D64</f>
        <v xml:space="preserve"> REVESTIMENTO CERÂMICO PARA PAREDES INTERNAS COM PLACAS TIPO ESMALTADA  EXTRA DE DIMENSÕES 20X20 CM APLICADAS EM AMBIENTES DE ÁREA MAIOR QUE 5  M² A MEIA ALTURA DAS PAREDES. AF_06/2014
 </v>
      </c>
      <c r="E61" s="20" t="str">
        <f>Orçamento!E64</f>
        <v>M2</v>
      </c>
      <c r="F61" s="297">
        <f>Orçamento!F64</f>
        <v>188.98</v>
      </c>
      <c r="G61" s="298">
        <v>15.24</v>
      </c>
      <c r="H61" s="298">
        <v>12.4</v>
      </c>
      <c r="I61" s="298"/>
      <c r="J61" s="299">
        <f t="shared" si="0"/>
        <v>188.976</v>
      </c>
    </row>
    <row r="62" spans="2:10" ht="59.25" customHeight="1" x14ac:dyDescent="0.25">
      <c r="B62" s="138" t="str">
        <f>Orçamento!B65</f>
        <v>6.8</v>
      </c>
      <c r="C62" s="2" t="str">
        <f>Orçamento!C65</f>
        <v>EMLURB -        17.01.142</v>
      </c>
      <c r="D62" s="2" t="str">
        <f>Orçamento!D65</f>
        <v xml:space="preserve">PASSEIO EM LAJOTA DE CONCRETO ANTIDERRAPANTE  30X30CM, TATIL ALERTA E DIRECIONAL, NATURAL,  APLICADO SOBRE LASTRO DE CONCRETO JA PRONTO. </v>
      </c>
      <c r="E62" s="3" t="str">
        <f>Orçamento!E65</f>
        <v>M2</v>
      </c>
      <c r="F62" s="31">
        <f>Orçamento!F65</f>
        <v>8</v>
      </c>
      <c r="G62" s="272">
        <v>4</v>
      </c>
      <c r="H62" s="272">
        <v>2</v>
      </c>
      <c r="I62" s="272"/>
      <c r="J62" s="273">
        <f t="shared" ref="J62" si="3">G62*H62</f>
        <v>8</v>
      </c>
    </row>
    <row r="63" spans="2:10" ht="25.5" x14ac:dyDescent="0.25">
      <c r="B63" s="138" t="str">
        <f>Orçamento!B66</f>
        <v>6.9</v>
      </c>
      <c r="C63" s="2" t="str">
        <f>Orçamento!C66</f>
        <v>COMPOSIÇÃO   03</v>
      </c>
      <c r="D63" s="2" t="str">
        <f>Orçamento!D66</f>
        <v>RAMPA DE ACESSO COM CORRIMÃO SIMPLES</v>
      </c>
      <c r="E63" s="3" t="str">
        <f>Orçamento!E66</f>
        <v>UNID</v>
      </c>
      <c r="F63" s="31">
        <f>Orçamento!F66</f>
        <v>1</v>
      </c>
      <c r="G63" s="272"/>
      <c r="H63" s="272"/>
      <c r="I63" s="272"/>
      <c r="J63" s="273">
        <v>1</v>
      </c>
    </row>
    <row r="64" spans="2:10" ht="76.5" x14ac:dyDescent="0.25">
      <c r="B64" s="138" t="str">
        <f>Orçamento!B67</f>
        <v>6.10</v>
      </c>
      <c r="C64" s="2" t="str">
        <f>Orçamento!C67</f>
        <v>SINAPI/19   98679</v>
      </c>
      <c r="D64" s="2" t="str">
        <f>Orçamento!D67</f>
        <v xml:space="preserve">PISO CIMENTADO, TRAÇO 1:3 (CIMENTO E AREIA), ACABAMENTO LISO, ESPESSURA 2,0 CM, PREPARO MECÂNICO DA ARGAMASSA. AF_06/2018
</v>
      </c>
      <c r="E64" s="3" t="str">
        <f>Orçamento!E67</f>
        <v>M2</v>
      </c>
      <c r="F64" s="31">
        <f>Orçamento!F67</f>
        <v>404.28</v>
      </c>
      <c r="G64" s="272">
        <v>23.95</v>
      </c>
      <c r="H64" s="272">
        <v>16.88</v>
      </c>
      <c r="I64" s="272"/>
      <c r="J64" s="273">
        <f t="shared" si="0"/>
        <v>404.27599999999995</v>
      </c>
    </row>
    <row r="65" spans="2:10" ht="51" x14ac:dyDescent="0.25">
      <c r="B65" s="138" t="str">
        <f>Orçamento!B68</f>
        <v>6.11</v>
      </c>
      <c r="C65" s="2" t="str">
        <f>Orçamento!C68</f>
        <v>SINAPI/19        95241</v>
      </c>
      <c r="D65" s="2" t="str">
        <f>Orçamento!D68</f>
        <v>LASTRO DE CONCRETO, E = 5 CM, PREPARO MECÂNICO, INCLUSOS LANÇAMENTO E ADENSAMENTO. AF_07_2016</v>
      </c>
      <c r="E65" s="3" t="str">
        <f>Orçamento!E68</f>
        <v>M2</v>
      </c>
      <c r="F65" s="31">
        <f>Orçamento!F68</f>
        <v>404.28</v>
      </c>
      <c r="G65" s="272">
        <v>23.95</v>
      </c>
      <c r="H65" s="272">
        <v>16.88</v>
      </c>
      <c r="I65" s="272"/>
      <c r="J65" s="273">
        <f t="shared" ref="J65" si="4">G65*H65</f>
        <v>404.27599999999995</v>
      </c>
    </row>
    <row r="66" spans="2:10" x14ac:dyDescent="0.25">
      <c r="B66" s="278" t="str">
        <f>Orçamento!B69</f>
        <v>7.0</v>
      </c>
      <c r="C66" s="175"/>
      <c r="D66" s="175" t="str">
        <f>Orçamento!D69</f>
        <v>COBERTURA</v>
      </c>
      <c r="E66" s="279"/>
      <c r="F66" s="280"/>
      <c r="G66" s="281"/>
      <c r="H66" s="281"/>
      <c r="I66" s="281"/>
      <c r="J66" s="282"/>
    </row>
    <row r="67" spans="2:10" ht="89.25" x14ac:dyDescent="0.25">
      <c r="B67" s="138" t="str">
        <f>Orçamento!B70</f>
        <v>7.1</v>
      </c>
      <c r="C67" s="2" t="str">
        <f>Orçamento!C70</f>
        <v xml:space="preserve">SINAPI/19   94207 </v>
      </c>
      <c r="D67" s="2" t="str">
        <f>Orçamento!D70</f>
        <v>TELHAMENTO COM TELHA ONDULADA DE FIBROCIMENTO E = 6 MM, COM RECOBRIMENTO LATERAL DE 1/4 DE ONDA PARA TELHADO COM INCLINAÇÃO MAIOR QUE 10°, C OM ATÉ 2 ÁGUAS, INCLUSO IÇAMENTO.</v>
      </c>
      <c r="E67" s="3" t="str">
        <f>Orçamento!E70</f>
        <v>M2</v>
      </c>
      <c r="F67" s="31">
        <f>Orçamento!F70</f>
        <v>293.39999999999998</v>
      </c>
      <c r="G67" s="272">
        <v>20</v>
      </c>
      <c r="H67" s="272">
        <v>14.67</v>
      </c>
      <c r="I67" s="272"/>
      <c r="J67" s="273">
        <f t="shared" si="0"/>
        <v>293.39999999999998</v>
      </c>
    </row>
    <row r="68" spans="2:10" ht="51" x14ac:dyDescent="0.25">
      <c r="B68" s="138" t="str">
        <f>Orçamento!B71</f>
        <v>7.2</v>
      </c>
      <c r="C68" s="2" t="str">
        <f>Orçamento!C71</f>
        <v xml:space="preserve">SINAPI/19     96485  </v>
      </c>
      <c r="D68" s="2" t="str">
        <f>Orçamento!D71</f>
        <v>FORRO EM RÉGUAS DE PVC, LISO, PARA AMBIENTES RESIDENCIAIS, INCLUSIVE ESTRUTURA DE FIXAÇÃO. AF_05/2017_P</v>
      </c>
      <c r="E68" s="3" t="str">
        <f>Orçamento!E71</f>
        <v>M2</v>
      </c>
      <c r="F68" s="31">
        <f>Orçamento!F71</f>
        <v>272.20999999999998</v>
      </c>
      <c r="G68" s="272">
        <v>19.21</v>
      </c>
      <c r="H68" s="272">
        <v>14.17</v>
      </c>
      <c r="I68" s="272"/>
      <c r="J68" s="273">
        <f t="shared" si="0"/>
        <v>272.20570000000004</v>
      </c>
    </row>
    <row r="69" spans="2:10" ht="76.5" x14ac:dyDescent="0.25">
      <c r="B69" s="138" t="str">
        <f>Orçamento!B72</f>
        <v>7.3</v>
      </c>
      <c r="C69" s="2" t="str">
        <f>Orçamento!C72</f>
        <v>SINAPI/19     74141/001</v>
      </c>
      <c r="D69" s="2" t="str">
        <f>Orçamento!D72</f>
        <v>LAJE PRE-MOLD BETA 11 P/1KN/M2 VAOS 4,40M/INCL VIGOTAS TIJOLOS ARMADUR M2 A NEGATIVA CAPEAMENTO 3CM CONCRETO 20MPA ESCORAMENTO MATERIAL E MAO DE OBRA.</v>
      </c>
      <c r="E69" s="3" t="str">
        <f>Orçamento!E72</f>
        <v>M2</v>
      </c>
      <c r="F69" s="31">
        <f>Orçamento!F72</f>
        <v>293.39999999999998</v>
      </c>
      <c r="G69" s="272">
        <v>20</v>
      </c>
      <c r="H69" s="272">
        <v>14.67</v>
      </c>
      <c r="I69" s="272"/>
      <c r="J69" s="273">
        <f t="shared" si="0"/>
        <v>293.39999999999998</v>
      </c>
    </row>
    <row r="70" spans="2:10" ht="76.5" x14ac:dyDescent="0.25">
      <c r="B70" s="138" t="str">
        <f>Orçamento!B73</f>
        <v>7.4</v>
      </c>
      <c r="C70" s="2" t="str">
        <f>Orçamento!C73</f>
        <v>SINAPI/19     74141/003</v>
      </c>
      <c r="D70" s="2" t="str">
        <f>Orçamento!D73</f>
        <v>LAJE PRE-MOLD BETA 16 P/3,5KN/M2 VAO 5,2M INCL VIGOTAS TIJOLOS ARMADURA NEGATIVA CAPEAMENTO 3CM CONCRETO 15MPA ESCORAMENTO MATERIAL E MAO DE OBRA</v>
      </c>
      <c r="E70" s="3" t="str">
        <f>Orçamento!E73</f>
        <v>M2</v>
      </c>
      <c r="F70" s="31">
        <f>Orçamento!F73</f>
        <v>11.55</v>
      </c>
      <c r="G70" s="272">
        <v>3.85</v>
      </c>
      <c r="H70" s="272">
        <v>3</v>
      </c>
      <c r="I70" s="272"/>
      <c r="J70" s="273">
        <f t="shared" si="0"/>
        <v>11.55</v>
      </c>
    </row>
    <row r="71" spans="2:10" ht="63.75" x14ac:dyDescent="0.25">
      <c r="B71" s="138" t="str">
        <f>Orçamento!B74</f>
        <v>7.5</v>
      </c>
      <c r="C71" s="2" t="str">
        <f>Orçamento!C74</f>
        <v>SINAPI/19     94228</v>
      </c>
      <c r="D71" s="2" t="str">
        <f>Orçamento!D74</f>
        <v>CALHA EM CHAPA DE AÇO GALVANIZADO NÚMERO 24, DESENVOLVIMENTO DE 50 CM, INCLUSO TRANSPORTE VERTICAL. AF_07/2019</v>
      </c>
      <c r="E71" s="3" t="str">
        <f>Orçamento!E74</f>
        <v>M</v>
      </c>
      <c r="F71" s="31">
        <f>Orçamento!F74</f>
        <v>80</v>
      </c>
      <c r="G71" s="272"/>
      <c r="H71" s="272"/>
      <c r="I71" s="272"/>
      <c r="J71" s="273">
        <v>80</v>
      </c>
    </row>
    <row r="72" spans="2:10" ht="51" x14ac:dyDescent="0.25">
      <c r="B72" s="138" t="str">
        <f>Orçamento!B75</f>
        <v>7.6</v>
      </c>
      <c r="C72" s="2" t="str">
        <f>Orçamento!C75</f>
        <v>SINAPI/19     94231</v>
      </c>
      <c r="D72" s="2" t="str">
        <f>Orçamento!D75</f>
        <v>RUFO EM CHAPA DE AÇO GALVANIZADO NÚMERO 24, CORTE DE 25 CM, INCLUSO TRANSPORTE VERTICAL. AF_07/2019</v>
      </c>
      <c r="E72" s="3" t="str">
        <f>Orçamento!E75</f>
        <v>M</v>
      </c>
      <c r="F72" s="31">
        <f>Orçamento!F75</f>
        <v>45</v>
      </c>
      <c r="G72" s="272"/>
      <c r="H72" s="272"/>
      <c r="I72" s="272"/>
      <c r="J72" s="273">
        <v>45</v>
      </c>
    </row>
    <row r="73" spans="2:10" ht="89.25" x14ac:dyDescent="0.25">
      <c r="B73" s="138" t="str">
        <f>Orçamento!B76</f>
        <v>7.7</v>
      </c>
      <c r="C73" s="2" t="str">
        <f>Orçamento!C76</f>
        <v>SINAPI/ 19   92543</v>
      </c>
      <c r="D73" s="2" t="str">
        <f>Orçamento!D76</f>
        <v xml:space="preserve"> TRAMA DE MADEIRA COMPOSTA POR TERÇAS PARA TELHADOS DE ATÉ 2 ÁGUAS PARA TELHA ONDULADA DE FIBROCIMENTO, METÁLICA, PLÁSTICA OU TERMOACÚSTICA,INCLUSO TRANSPORTE VERTICAL. AF_07/2019</v>
      </c>
      <c r="E73" s="3" t="str">
        <f>Orçamento!E76</f>
        <v>M2</v>
      </c>
      <c r="F73" s="31">
        <f>Orçamento!F76</f>
        <v>293.39999999999998</v>
      </c>
      <c r="G73" s="272">
        <v>20</v>
      </c>
      <c r="H73" s="272">
        <v>14.67</v>
      </c>
      <c r="I73" s="272"/>
      <c r="J73" s="273">
        <f t="shared" si="0"/>
        <v>293.39999999999998</v>
      </c>
    </row>
    <row r="74" spans="2:10" x14ac:dyDescent="0.25">
      <c r="B74" s="278" t="str">
        <f>Orçamento!B77</f>
        <v>8.0</v>
      </c>
      <c r="C74" s="175"/>
      <c r="D74" s="175" t="str">
        <f>Orçamento!D77</f>
        <v>INSTALAÇÕES HIDRÁULICAS</v>
      </c>
      <c r="E74" s="279" t="str">
        <f>Orçamento!E77</f>
        <v/>
      </c>
      <c r="F74" s="280"/>
      <c r="G74" s="281"/>
      <c r="H74" s="281"/>
      <c r="I74" s="281"/>
      <c r="J74" s="282"/>
    </row>
    <row r="75" spans="2:10" ht="25.5" x14ac:dyDescent="0.25">
      <c r="B75" s="138" t="str">
        <f>Orçamento!B78</f>
        <v>8.1</v>
      </c>
      <c r="C75" s="2" t="str">
        <f>Orçamento!C78</f>
        <v xml:space="preserve">COMPOSIÇÃO  01 </v>
      </c>
      <c r="D75" s="2" t="str">
        <f>Orçamento!D78</f>
        <v>REVISÃO DAS INSTALAÇÕES HIDROSANITARIA</v>
      </c>
      <c r="E75" s="3" t="str">
        <f>Orçamento!E78</f>
        <v>UNID</v>
      </c>
      <c r="F75" s="31">
        <f>Orçamento!F78</f>
        <v>2</v>
      </c>
      <c r="G75" s="272"/>
      <c r="H75" s="272"/>
      <c r="I75" s="272"/>
      <c r="J75" s="273">
        <v>2</v>
      </c>
    </row>
    <row r="76" spans="2:10" ht="51" x14ac:dyDescent="0.25">
      <c r="B76" s="138" t="str">
        <f>Orçamento!B79</f>
        <v>8.2</v>
      </c>
      <c r="C76" s="2" t="str">
        <f>Orçamento!C79</f>
        <v>SINAPI/19         86906</v>
      </c>
      <c r="D76" s="2" t="str">
        <f>Orçamento!D79</f>
        <v>TORNEIRA CROMADA DE MESA, 1/2" OU 3/4", PARA LAVATÓRIO, PADRÃO POPULAR - FORNECIMENTO E INSTALAÇÃO. AF_12/2013</v>
      </c>
      <c r="E76" s="3" t="str">
        <f>Orçamento!E79</f>
        <v>UNID</v>
      </c>
      <c r="F76" s="31">
        <f>Orçamento!F79</f>
        <v>10</v>
      </c>
      <c r="G76" s="272"/>
      <c r="H76" s="272"/>
      <c r="I76" s="272"/>
      <c r="J76" s="273">
        <v>20</v>
      </c>
    </row>
    <row r="77" spans="2:10" ht="76.5" x14ac:dyDescent="0.25">
      <c r="B77" s="138" t="str">
        <f>Orçamento!B81</f>
        <v>8.4</v>
      </c>
      <c r="C77" s="2" t="str">
        <f>Orçamento!C81</f>
        <v>SINAPI/19        89957</v>
      </c>
      <c r="D77" s="2" t="str">
        <f>Orçamento!D81</f>
        <v>PONTO DE CONSUMO TERMINAL DE ÁGUA FRIA (SUBRAMAL) COM TUBULAÇÃO DE PVC , DN 25 MM, INSTALADO EM RAMAL DE ÁGUA, INCLUSOS RASGO E CHUMBAMENTO EM ALVENARIA. AF_12/2014</v>
      </c>
      <c r="E77" s="3" t="str">
        <f>Orçamento!E81</f>
        <v>UNID</v>
      </c>
      <c r="F77" s="31">
        <f>Orçamento!F81</f>
        <v>25</v>
      </c>
      <c r="G77" s="272"/>
      <c r="H77" s="272"/>
      <c r="I77" s="272"/>
      <c r="J77" s="273">
        <v>25</v>
      </c>
    </row>
    <row r="78" spans="2:10" ht="63.75" x14ac:dyDescent="0.25">
      <c r="B78" s="138" t="str">
        <f>Orçamento!B82</f>
        <v>8.5</v>
      </c>
      <c r="C78" s="2" t="str">
        <f>Orçamento!C82</f>
        <v xml:space="preserve">EMLURB -        19.01.020 </v>
      </c>
      <c r="D78" s="2" t="str">
        <f>Orçamento!D82</f>
        <v>PONTO DE ESGOTO PARA PIA OU LAVANDARIA,INCLUSIVE TUBULACOES E CONEXOES EM PVC RIGIDO SOLDAVEIS , ATE A COLUNA OU O SUB-COLETOR.</v>
      </c>
      <c r="E78" s="3" t="str">
        <f>Orçamento!E82</f>
        <v>PT</v>
      </c>
      <c r="F78" s="31">
        <f>Orçamento!F82</f>
        <v>15</v>
      </c>
      <c r="G78" s="272"/>
      <c r="H78" s="272"/>
      <c r="I78" s="272"/>
      <c r="J78" s="273">
        <v>20</v>
      </c>
    </row>
    <row r="79" spans="2:10" ht="76.5" x14ac:dyDescent="0.25">
      <c r="B79" s="138" t="str">
        <f>Orçamento!B83</f>
        <v>8.6</v>
      </c>
      <c r="C79" s="2" t="str">
        <f>Orçamento!C83</f>
        <v xml:space="preserve">SINAPI/19   89708 </v>
      </c>
      <c r="D79" s="2" t="str">
        <f>Orçamento!D83</f>
        <v>CAIXA SIFONADA, PVC, DN 150 X 185 X 75 MM, JUNTA ELÁSTICA, FORNECIDA E INSTALADA EM RAMAL DE DESCARGA OU EM RAMAL DE ESGOTO SANITÁRIO. AF_12
/2014</v>
      </c>
      <c r="E79" s="3" t="str">
        <f>Orçamento!E83</f>
        <v>UNID</v>
      </c>
      <c r="F79" s="31">
        <f>Orçamento!F83</f>
        <v>15</v>
      </c>
      <c r="G79" s="272"/>
      <c r="H79" s="272"/>
      <c r="I79" s="272"/>
      <c r="J79" s="273">
        <v>15</v>
      </c>
    </row>
    <row r="80" spans="2:10" ht="51" x14ac:dyDescent="0.25">
      <c r="B80" s="138" t="str">
        <f>Orçamento!B84</f>
        <v>8.7</v>
      </c>
      <c r="C80" s="2" t="str">
        <f>Orçamento!C84</f>
        <v>SINAPI/19      86888</v>
      </c>
      <c r="D80" s="2" t="str">
        <f>Orçamento!D84</f>
        <v>VASO SANITÁRIO SIFONADO COM CAIXA ACOPLADA LOUÇA BRANCA - FORNECIMENTO E INSTALAÇÃO. AF_12/2013</v>
      </c>
      <c r="E80" s="3" t="str">
        <f>Orçamento!E84</f>
        <v>UNID</v>
      </c>
      <c r="F80" s="31">
        <f>Orçamento!F84</f>
        <v>6</v>
      </c>
      <c r="G80" s="272"/>
      <c r="H80" s="272"/>
      <c r="I80" s="272"/>
      <c r="J80" s="273">
        <v>6</v>
      </c>
    </row>
    <row r="81" spans="2:10" ht="89.25" x14ac:dyDescent="0.25">
      <c r="B81" s="138" t="str">
        <f>Orçamento!B85</f>
        <v>8.8</v>
      </c>
      <c r="C81" s="2" t="str">
        <f>Orçamento!C85</f>
        <v>SINAPI/19      95472</v>
      </c>
      <c r="D81" s="2" t="str">
        <f>Orçamento!D85</f>
        <v>VASO SANITARIO SIFONADO CONVENCIONAL PARA PCD SEM FURO FRONTAL COM LOUÇA BRANCA SEM ASSENTO, INCLUSO CONJUNTO DE LIGAÇÃO PARA BACIA SANITÁRIA AJUSTÁVEL - FORNECIMENTO E INSTALAÇÃO. AF_10/201</v>
      </c>
      <c r="E81" s="3" t="str">
        <f>Orçamento!E85</f>
        <v>UNID</v>
      </c>
      <c r="F81" s="31">
        <f>Orçamento!F85</f>
        <v>1</v>
      </c>
      <c r="G81" s="272"/>
      <c r="H81" s="272"/>
      <c r="I81" s="272"/>
      <c r="J81" s="273">
        <v>1</v>
      </c>
    </row>
    <row r="82" spans="2:10" ht="25.5" x14ac:dyDescent="0.25">
      <c r="B82" s="138" t="str">
        <f>Orçamento!B86</f>
        <v>8.9</v>
      </c>
      <c r="C82" s="2" t="str">
        <f>Orçamento!C86</f>
        <v>COMPOSIÇÃO 04</v>
      </c>
      <c r="D82" s="2" t="str">
        <f>Orçamento!D86</f>
        <v xml:space="preserve">CHUVEIRO PLASTICO BRANCO SIMPLES </v>
      </c>
      <c r="E82" s="3" t="str">
        <f>Orçamento!E86</f>
        <v>UNID</v>
      </c>
      <c r="F82" s="31">
        <f>Orçamento!F86</f>
        <v>2</v>
      </c>
      <c r="G82" s="272"/>
      <c r="H82" s="272"/>
      <c r="I82" s="272"/>
      <c r="J82" s="273">
        <v>2</v>
      </c>
    </row>
    <row r="83" spans="2:10" ht="63.75" x14ac:dyDescent="0.25">
      <c r="B83" s="138" t="str">
        <f>Orçamento!B87</f>
        <v>8.10</v>
      </c>
      <c r="C83" s="2" t="str">
        <f>Orçamento!C87</f>
        <v xml:space="preserve">SINAPI/19   89402 </v>
      </c>
      <c r="D83" s="2" t="str">
        <f>Orçamento!D87</f>
        <v>TUBO, PVC, SOLDÁVEL, DN 25MM, INSTALADO EM RAMAL DE DISTRIBUIÇÃO DE ÁGUA - FORNECIMENTO E INSTALAÇÃO. AF_12/2014</v>
      </c>
      <c r="E83" s="3" t="str">
        <f>Orçamento!E87</f>
        <v>M</v>
      </c>
      <c r="F83" s="31">
        <f>Orçamento!F87</f>
        <v>96</v>
      </c>
      <c r="G83" s="272"/>
      <c r="H83" s="272"/>
      <c r="I83" s="272"/>
      <c r="J83" s="273">
        <v>96</v>
      </c>
    </row>
    <row r="84" spans="2:10" ht="63.75" x14ac:dyDescent="0.25">
      <c r="B84" s="138" t="str">
        <f>Orçamento!B88</f>
        <v>8.11</v>
      </c>
      <c r="C84" s="2" t="str">
        <f>Orçamento!C88</f>
        <v xml:space="preserve">SINAPI/19   89714      </v>
      </c>
      <c r="D84" s="2" t="str">
        <f>Orçamento!D88</f>
        <v>TUBO PVC, SERIE NORMAL, ESGOTO PREDIAL, DN 100 MM, FORNECIDO E INSTALADO EM RAMAL DE DESCARGA OU RAMAL DE ESGOTO SANITÁRIO.</v>
      </c>
      <c r="E84" s="3" t="str">
        <f>Orçamento!E88</f>
        <v>M</v>
      </c>
      <c r="F84" s="31">
        <f>Orçamento!F88</f>
        <v>60</v>
      </c>
      <c r="G84" s="272"/>
      <c r="H84" s="272"/>
      <c r="I84" s="272"/>
      <c r="J84" s="273">
        <v>60</v>
      </c>
    </row>
    <row r="85" spans="2:10" ht="63.75" x14ac:dyDescent="0.25">
      <c r="B85" s="138" t="str">
        <f>Orçamento!B89</f>
        <v>8.12</v>
      </c>
      <c r="C85" s="2" t="str">
        <f>Orçamento!C89</f>
        <v>SINAPI/19     89711</v>
      </c>
      <c r="D85" s="2" t="str">
        <f>Orçamento!D89</f>
        <v>TUBO PVC, SERIE NORMAL, ESGOTO PREDIAL, DN 40 MM, FORNECIDO E INSTALADO EM RAMAL DE DESCARGA OU RAMAL DE ESGOTO SANITÁRIO.</v>
      </c>
      <c r="E85" s="3" t="str">
        <f>Orçamento!E89</f>
        <v>M</v>
      </c>
      <c r="F85" s="31">
        <f>Orçamento!F89</f>
        <v>78</v>
      </c>
      <c r="G85" s="272"/>
      <c r="H85" s="272"/>
      <c r="I85" s="272"/>
      <c r="J85" s="273">
        <v>78</v>
      </c>
    </row>
    <row r="86" spans="2:10" ht="38.25" x14ac:dyDescent="0.25">
      <c r="B86" s="138" t="str">
        <f>Orçamento!B90</f>
        <v>8.13</v>
      </c>
      <c r="C86" s="2" t="str">
        <f>Orçamento!C90</f>
        <v>SINAPI/19   86882</v>
      </c>
      <c r="D86" s="2" t="str">
        <f>Orçamento!D90</f>
        <v>SIFÃO DO TIPO GARRAFA/COPO EM PVC 1.1/4 X 1.1/2" - FORNECIMENTO E INSTALAÇÃO.</v>
      </c>
      <c r="E86" s="3" t="str">
        <f>Orçamento!E90</f>
        <v>UNID</v>
      </c>
      <c r="F86" s="31">
        <f>Orçamento!F90</f>
        <v>10</v>
      </c>
      <c r="G86" s="272"/>
      <c r="H86" s="272"/>
      <c r="I86" s="272"/>
      <c r="J86" s="273">
        <v>20</v>
      </c>
    </row>
    <row r="87" spans="2:10" ht="63.75" x14ac:dyDescent="0.25">
      <c r="B87" s="138" t="str">
        <f>Orçamento!B91</f>
        <v>8.14</v>
      </c>
      <c r="C87" s="2" t="str">
        <f>Orçamento!C91</f>
        <v>SINAPI/19        89362</v>
      </c>
      <c r="D87" s="2" t="str">
        <f>Orçamento!D91</f>
        <v>JOELHO 90 GRAUS, PVC, SOLDÁVEL, DN 25MM, INSTALADO EM RAMAL OU SUB-RAMAL DE ÁGUA - FORNECIMENTO E INSTALAÇÃO. AF_12/201</v>
      </c>
      <c r="E87" s="3" t="str">
        <f>Orçamento!E91</f>
        <v>UNID</v>
      </c>
      <c r="F87" s="31">
        <f>Orçamento!F91</f>
        <v>30</v>
      </c>
      <c r="G87" s="272"/>
      <c r="H87" s="272"/>
      <c r="I87" s="272"/>
      <c r="J87" s="273">
        <v>30</v>
      </c>
    </row>
    <row r="88" spans="2:10" ht="51" x14ac:dyDescent="0.25">
      <c r="B88" s="138" t="str">
        <f>Orçamento!B92</f>
        <v>8.15</v>
      </c>
      <c r="C88" s="2" t="str">
        <f>Orçamento!C92</f>
        <v>SINAPI/19        89395</v>
      </c>
      <c r="D88" s="2" t="str">
        <f>Orçamento!D92</f>
        <v>TE, PVC, SOLDÁVEL, DN 25MM, INSTALADO EM RAMAL OU SUB-RAMAL DE ÁGUA - FORNECIMENTO E INSTALAÇÃO. AF_12/2014</v>
      </c>
      <c r="E88" s="3" t="str">
        <f>Orçamento!E92</f>
        <v>UNID</v>
      </c>
      <c r="F88" s="31">
        <f>Orçamento!F92</f>
        <v>30</v>
      </c>
      <c r="G88" s="272"/>
      <c r="H88" s="272"/>
      <c r="I88" s="272"/>
      <c r="J88" s="273">
        <v>30</v>
      </c>
    </row>
    <row r="89" spans="2:10" ht="51" x14ac:dyDescent="0.25">
      <c r="B89" s="138" t="str">
        <f>Orçamento!B93</f>
        <v>8.16</v>
      </c>
      <c r="C89" s="2" t="str">
        <f>Orçamento!C93</f>
        <v>SINAPI/19   89352</v>
      </c>
      <c r="D89" s="2" t="str">
        <f>Orçamento!D93</f>
        <v>REGISTRO DE GAVETA BRUTO, LATÃO, ROSCÁVEL, 1/2", FORNECIDO E INSTALADO EM RAMAL DE ÁGUA. AF_12/2014</v>
      </c>
      <c r="E89" s="3" t="str">
        <f>Orçamento!E93</f>
        <v>UNID</v>
      </c>
      <c r="F89" s="31">
        <f>Orçamento!F93</f>
        <v>15</v>
      </c>
      <c r="G89" s="272"/>
      <c r="H89" s="272"/>
      <c r="I89" s="272"/>
      <c r="J89" s="273">
        <v>15</v>
      </c>
    </row>
    <row r="90" spans="2:10" ht="63.75" x14ac:dyDescent="0.25">
      <c r="B90" s="138" t="str">
        <f>Orçamento!B94</f>
        <v>8.17</v>
      </c>
      <c r="C90" s="2" t="str">
        <f>Orçamento!C94</f>
        <v xml:space="preserve">SINAPI/19   89403 </v>
      </c>
      <c r="D90" s="2" t="str">
        <f>Orçamento!D94</f>
        <v>TUBO, PVC, SOLDÁVEL, DN 32MM, INSTALADO EM RAMAL DE DISTRIBUIÇÃO DE ÁGUA - FORNECIMENTO E INSTALAÇÃO. AF_12/2014</v>
      </c>
      <c r="E90" s="3" t="str">
        <f>Orçamento!E94</f>
        <v>M</v>
      </c>
      <c r="F90" s="31">
        <f>Orçamento!F94</f>
        <v>30</v>
      </c>
      <c r="G90" s="272"/>
      <c r="H90" s="272"/>
      <c r="I90" s="272"/>
      <c r="J90" s="273">
        <v>30</v>
      </c>
    </row>
    <row r="91" spans="2:10" ht="76.5" x14ac:dyDescent="0.25">
      <c r="B91" s="138" t="str">
        <f>Orçamento!B95</f>
        <v>8.18</v>
      </c>
      <c r="C91" s="2" t="str">
        <f>Orçamento!C95</f>
        <v xml:space="preserve">EMLURB -18   19.05.040 </v>
      </c>
      <c r="D91" s="2" t="str">
        <f>Orçamento!D95</f>
        <v>FORNECIMENTO E ASSENTAMENTO DE TUBOS SOLDAVEIS DE PVC RIGIDO DIAM. 40 MM, INCLUSIVE CONEXOES E ABERTURA DE RASGOS EM ALVENARIA, PARA COLUNAS DE AGUA.</v>
      </c>
      <c r="E91" s="3" t="str">
        <f>Orçamento!E95</f>
        <v>M</v>
      </c>
      <c r="F91" s="31">
        <f>Orçamento!F95</f>
        <v>30</v>
      </c>
      <c r="G91" s="272"/>
      <c r="H91" s="272"/>
      <c r="I91" s="272"/>
      <c r="J91" s="273">
        <v>30</v>
      </c>
    </row>
    <row r="92" spans="2:10" ht="76.5" x14ac:dyDescent="0.25">
      <c r="B92" s="138" t="str">
        <f>Orçamento!B96</f>
        <v>8.19</v>
      </c>
      <c r="C92" s="2" t="str">
        <f>Orçamento!C96</f>
        <v>EMLURB -18   19.05.050</v>
      </c>
      <c r="D92" s="2" t="str">
        <f>Orçamento!D96</f>
        <v xml:space="preserve">FORNECIMENTO E ASSENTAMENTO DE TUBOS SOLDAVEIS DE PVC RIGIDO DIAM. 50 MM, INCLUSIVE CONEXOES E ABERTURA DE RASGOS EM ALVENARIA, PARA COLUNAS DE AGUA. </v>
      </c>
      <c r="E92" s="3" t="str">
        <f>Orçamento!E96</f>
        <v>M</v>
      </c>
      <c r="F92" s="31">
        <f>Orçamento!F96</f>
        <v>30</v>
      </c>
      <c r="G92" s="272"/>
      <c r="H92" s="272"/>
      <c r="I92" s="272"/>
      <c r="J92" s="273">
        <v>30</v>
      </c>
    </row>
    <row r="93" spans="2:10" ht="51" x14ac:dyDescent="0.25">
      <c r="B93" s="138" t="str">
        <f>Orçamento!B97</f>
        <v>8.20</v>
      </c>
      <c r="C93" s="2" t="str">
        <f>Orçamento!C97</f>
        <v xml:space="preserve">EMLURB -18   19.07.147 </v>
      </c>
      <c r="D93" s="2" t="str">
        <f>Orçamento!D97</f>
        <v xml:space="preserve">FORNECIMENTO DE CAIXA D'AGUA ELEVADA DE PVC, COM TAMPA, CAPACIDADE PARA 2000 LITROS, INCLUSIVE COLOCACAO. </v>
      </c>
      <c r="E93" s="3" t="str">
        <f>Orçamento!E97</f>
        <v>UNID</v>
      </c>
      <c r="F93" s="31">
        <f>Orçamento!F97</f>
        <v>2</v>
      </c>
      <c r="G93" s="272"/>
      <c r="H93" s="272"/>
      <c r="I93" s="272"/>
      <c r="J93" s="273">
        <v>2</v>
      </c>
    </row>
    <row r="94" spans="2:10" ht="63.75" x14ac:dyDescent="0.25">
      <c r="B94" s="138" t="str">
        <f>Orçamento!B98</f>
        <v>8.21</v>
      </c>
      <c r="C94" s="2" t="str">
        <f>Orçamento!C98</f>
        <v>SINAPI/19   89495</v>
      </c>
      <c r="D94" s="2" t="str">
        <f>Orçamento!D98</f>
        <v>RALO SIFONADO, PVC, DN 100 X 40 MM, JUNTA SOLDÁVEL, FORNECIDO E INSTALADO EM RAMAIS DE ENCAMINHAMENTO DE ÁGUA PLUVIAL.</v>
      </c>
      <c r="E94" s="3" t="str">
        <f>Orçamento!E98</f>
        <v>UNID</v>
      </c>
      <c r="F94" s="31">
        <f>Orçamento!F98</f>
        <v>10</v>
      </c>
      <c r="G94" s="272"/>
      <c r="H94" s="272"/>
      <c r="I94" s="272"/>
      <c r="J94" s="273">
        <v>10</v>
      </c>
    </row>
    <row r="95" spans="2:10" ht="51" x14ac:dyDescent="0.25">
      <c r="B95" s="138" t="str">
        <f>Orçamento!B99</f>
        <v>8.22</v>
      </c>
      <c r="C95" s="2" t="str">
        <f>Orçamento!C99</f>
        <v>SINAPI/2019  86876</v>
      </c>
      <c r="D95" s="2" t="str">
        <f>Orçamento!D99</f>
        <v xml:space="preserve"> TANQUE DE MÁRMORE SINTÉTICO SUSPENSO, 22L OU EQUIVALENTE - FORNECIMENT O E INSTALAÇÃO. AF_12/2013 </v>
      </c>
      <c r="E95" s="3" t="str">
        <f>Orçamento!E99</f>
        <v>UNID</v>
      </c>
      <c r="F95" s="31">
        <f>Orçamento!F99</f>
        <v>1</v>
      </c>
      <c r="G95" s="272"/>
      <c r="H95" s="272"/>
      <c r="I95" s="272"/>
      <c r="J95" s="273">
        <v>1</v>
      </c>
    </row>
    <row r="96" spans="2:10" ht="141" customHeight="1" x14ac:dyDescent="0.25">
      <c r="B96" s="138" t="str">
        <f>Orçamento!B100</f>
        <v>8.23</v>
      </c>
      <c r="C96" s="2" t="str">
        <f>Orçamento!C100</f>
        <v>SINAPI/19   93396</v>
      </c>
      <c r="D96" s="2" t="str">
        <f>Orçamento!D100</f>
        <v xml:space="preserve"> BANCADA GRANITO CINZA POLIDO 0,50 X 0,60M, INCL. CUBA DE EMBUTIR OVAL  LOUÇA BRANCA 35 X 50CM, VÁLVULA METAL CROMADO, SIFÃO FLEXÍVEL PVC, ENG ATE 30CM FLEXÍVEL PLÁSTICO E TORNEIRA CROMADA DE MESA, PADRÃO POPULAR  - FORNEC. E INSTALAÇÃO. AF_12/2013</v>
      </c>
      <c r="E96" s="3" t="str">
        <f>Orçamento!E100</f>
        <v>UNID</v>
      </c>
      <c r="F96" s="31">
        <f>Orçamento!F100</f>
        <v>5</v>
      </c>
      <c r="G96" s="272"/>
      <c r="H96" s="272"/>
      <c r="I96" s="272"/>
      <c r="J96" s="273">
        <v>5</v>
      </c>
    </row>
    <row r="97" spans="2:10" ht="141" customHeight="1" x14ac:dyDescent="0.25">
      <c r="B97" s="138" t="str">
        <f>Orçamento!B104</f>
        <v>8.27</v>
      </c>
      <c r="C97" s="2" t="str">
        <f>Orçamento!C104</f>
        <v>SINAPI/19  93441</v>
      </c>
      <c r="D97" s="2" t="str">
        <f>Orçamento!D104</f>
        <v xml:space="preserve"> BANCADA DE GRANITO CINZA POLIDO 150 X 60 CM, COM CUBA DE EMBUTIR DE AÇ O INOXIDÁVEL MÉDIA, VÁLVULA AMERICANA EM METAL CROMADO, SIFÃO FLEXÍVEL  EM PVC, ENGATE FLEXÍVEL 30 CM, TORNEIRA CROMADA LONGA DE PAREDE, 1/2 OU 3/4, PARA PIA DE COZINHA, PADRÃO POPULAR- FORNEC. E INSTAL. AF_12/2 013</v>
      </c>
      <c r="E97" s="3" t="str">
        <f>Orçamento!E104</f>
        <v>UNID</v>
      </c>
      <c r="F97" s="31">
        <f>Orçamento!F104</f>
        <v>2</v>
      </c>
      <c r="G97" s="272"/>
      <c r="H97" s="272"/>
      <c r="I97" s="272"/>
      <c r="J97" s="273">
        <v>2</v>
      </c>
    </row>
    <row r="98" spans="2:10" ht="118.5" customHeight="1" x14ac:dyDescent="0.25">
      <c r="B98" s="138" t="str">
        <f>Orçamento!B105</f>
        <v>8.28</v>
      </c>
      <c r="C98" s="2" t="str">
        <f>Orçamento!C105</f>
        <v>SINAPI/19   86939</v>
      </c>
      <c r="D98" s="2" t="str">
        <f>Orçamento!D105</f>
        <v>LAVATÓRIO LOUÇA BRANCA COM COLUNA, *44 X 35,5* CM, PADRÃO POPULAR, INC LUSO SIFÃO FLEXÍVEL EM PVC, VÁLVULA E ENGATE FLEXÍVEL 30CM EM PLÁSTICO  E COM TORNEIRA CROMADA PADRÃO POPULAR - FORNECIMENTO E INSTALAÇÃO. AF _12/2013</v>
      </c>
      <c r="E98" s="3" t="str">
        <f>Orçamento!E105</f>
        <v>UNID</v>
      </c>
      <c r="F98" s="31">
        <f>Orçamento!F105</f>
        <v>5</v>
      </c>
      <c r="G98" s="272"/>
      <c r="H98" s="272"/>
      <c r="I98" s="272"/>
      <c r="J98" s="273">
        <v>5</v>
      </c>
    </row>
    <row r="99" spans="2:10" ht="108.75" customHeight="1" x14ac:dyDescent="0.25">
      <c r="B99" s="138" t="str">
        <f>Orçamento!B106</f>
        <v>8.29</v>
      </c>
      <c r="C99" s="2" t="str">
        <f>Orçamento!C106</f>
        <v>SINAPI/2019  86942</v>
      </c>
      <c r="D99" s="2" t="str">
        <f>Orçamento!D106</f>
        <v xml:space="preserve"> LAVATÓRIO LOUÇA BRANCA SUSPENSO, 29,5 X 39CM OU EQUIVALENTE, PADRÃO POPULAR, INCLUSO SIFÃO TIPO GARRAFA EM PVC, VÁLVULA E ENGATE FLEXÍVEL 30  CM EM PLÁSTICO E TORNEIRA CROMADA DE MESA, PADRÃO POPULAR - FORNECIMEN TO E INSTALAÇÃO. AF_12/2013</v>
      </c>
      <c r="E99" s="3" t="str">
        <f>Orçamento!E106</f>
        <v>UNID</v>
      </c>
      <c r="F99" s="31">
        <f>Orçamento!F106</f>
        <v>1</v>
      </c>
      <c r="G99" s="272"/>
      <c r="H99" s="272"/>
      <c r="I99" s="272"/>
      <c r="J99" s="273">
        <v>1</v>
      </c>
    </row>
    <row r="100" spans="2:10" ht="38.25" x14ac:dyDescent="0.25">
      <c r="B100" s="138" t="str">
        <f>Orçamento!B107</f>
        <v>8.30</v>
      </c>
      <c r="C100" s="2" t="str">
        <f>Orçamento!C107</f>
        <v>SINAPI/2019  95545</v>
      </c>
      <c r="D100" s="2" t="str">
        <f>Orçamento!D107</f>
        <v>SABONETEIRA DE PAREDE EM METAL CROMADO, INCLUSO FIXAÇÃO. AF_10/2016</v>
      </c>
      <c r="E100" s="3" t="str">
        <f>Orçamento!E107</f>
        <v>UNID</v>
      </c>
      <c r="F100" s="31">
        <f>Orçamento!F107</f>
        <v>7</v>
      </c>
      <c r="G100" s="272"/>
      <c r="H100" s="272"/>
      <c r="I100" s="272"/>
      <c r="J100" s="273">
        <v>7</v>
      </c>
    </row>
    <row r="101" spans="2:10" ht="38.25" x14ac:dyDescent="0.25">
      <c r="B101" s="138" t="str">
        <f>Orçamento!B108</f>
        <v>8.31</v>
      </c>
      <c r="C101" s="2" t="str">
        <f>Orçamento!C108</f>
        <v>SINAPI/2019  95543</v>
      </c>
      <c r="D101" s="2" t="str">
        <f>Orçamento!D108</f>
        <v>PORTA TOALHA BANHO EM METAL CROMADO, TIPO BARRA, INCLUSO FIXAÇÃO. AF_10/2016</v>
      </c>
      <c r="E101" s="3" t="str">
        <f>Orçamento!E108</f>
        <v>UNID</v>
      </c>
      <c r="F101" s="31">
        <f>Orçamento!F108</f>
        <v>7</v>
      </c>
      <c r="G101" s="272"/>
      <c r="H101" s="272"/>
      <c r="I101" s="272"/>
      <c r="J101" s="273">
        <v>7</v>
      </c>
    </row>
    <row r="102" spans="2:10" ht="38.25" x14ac:dyDescent="0.25">
      <c r="B102" s="138" t="str">
        <f>Orçamento!B109</f>
        <v>8.32</v>
      </c>
      <c r="C102" s="2" t="str">
        <f>Orçamento!C109</f>
        <v>SINAPI/2019  95544</v>
      </c>
      <c r="D102" s="2" t="str">
        <f>Orçamento!D109</f>
        <v>PAPELEIRA DE PAREDE EM METAL CROMADO SEM TAMPA, INCLUSO FIXAÇÃO. AF_10/2016</v>
      </c>
      <c r="E102" s="3" t="str">
        <f>Orçamento!E109</f>
        <v>UNID</v>
      </c>
      <c r="F102" s="31">
        <f>Orçamento!F109</f>
        <v>7</v>
      </c>
      <c r="G102" s="272"/>
      <c r="H102" s="272"/>
      <c r="I102" s="272"/>
      <c r="J102" s="273">
        <v>7</v>
      </c>
    </row>
    <row r="103" spans="2:10" ht="78" customHeight="1" x14ac:dyDescent="0.25">
      <c r="B103" s="138" t="str">
        <f>Orçamento!B110</f>
        <v>8.33</v>
      </c>
      <c r="C103" s="2" t="str">
        <f>Orçamento!C110</f>
        <v xml:space="preserve">EMLURB -18   19.01.010 </v>
      </c>
      <c r="D103" s="2" t="str">
        <f>Orçamento!D110</f>
        <v>PONTO DE ESGOTO PARA BACIA SANITARIA, INCLUSIVE
TUBULACOES E CONEXOES EM PVC RIGI DO
SOLDAVEIS, ATE A COLUNA OU O SUB-COLE- TOR.</v>
      </c>
      <c r="E103" s="3" t="str">
        <f>Orçamento!E110</f>
        <v>PT</v>
      </c>
      <c r="F103" s="31">
        <f>Orçamento!F110</f>
        <v>7</v>
      </c>
      <c r="G103" s="272"/>
      <c r="H103" s="272"/>
      <c r="I103" s="272"/>
      <c r="J103" s="273">
        <v>7</v>
      </c>
    </row>
    <row r="104" spans="2:10" x14ac:dyDescent="0.25">
      <c r="B104" s="278" t="str">
        <f>Orçamento!B111</f>
        <v>9.0</v>
      </c>
      <c r="C104" s="175"/>
      <c r="D104" s="175" t="str">
        <f>Orçamento!D111</f>
        <v>INSTALAÇÕES ELÉTRICAS</v>
      </c>
      <c r="E104" s="279" t="str">
        <f>Orçamento!E111</f>
        <v/>
      </c>
      <c r="F104" s="280"/>
      <c r="G104" s="281"/>
      <c r="H104" s="281"/>
      <c r="I104" s="281"/>
      <c r="J104" s="282"/>
    </row>
    <row r="105" spans="2:10" ht="25.5" x14ac:dyDescent="0.25">
      <c r="B105" s="138" t="str">
        <f>Orçamento!B112</f>
        <v>9.1</v>
      </c>
      <c r="C105" s="2" t="str">
        <f>Orçamento!C112</f>
        <v>COMPOSIÇÃO   02</v>
      </c>
      <c r="D105" s="2" t="str">
        <f>Orçamento!D112</f>
        <v>REVISÃO DAS INSTALAÇÕES ELETRICAS.</v>
      </c>
      <c r="E105" s="3" t="str">
        <f>Orçamento!E112</f>
        <v>UNID</v>
      </c>
      <c r="F105" s="31">
        <f>Orçamento!F112</f>
        <v>2</v>
      </c>
      <c r="G105" s="272"/>
      <c r="H105" s="272"/>
      <c r="I105" s="272"/>
      <c r="J105" s="273">
        <v>2</v>
      </c>
    </row>
    <row r="106" spans="2:10" ht="51" x14ac:dyDescent="0.25">
      <c r="B106" s="138" t="str">
        <f>Orçamento!B113</f>
        <v>9.2</v>
      </c>
      <c r="C106" s="2" t="str">
        <f>Orçamento!C113</f>
        <v>EMLURB - 18 18.02.040</v>
      </c>
      <c r="D106" s="2" t="str">
        <f>Orçamento!D113</f>
        <v xml:space="preserve">POSTE DE CONCRETO SECCAO DUPLO T, 200/12, COM ENGASTAMENTO DIRETO NO SOLO DE 1,80 M, INCLUSIVE COLOCACAO. </v>
      </c>
      <c r="E106" s="3" t="str">
        <f>Orçamento!E113</f>
        <v>UNID</v>
      </c>
      <c r="F106" s="31">
        <f>Orçamento!F113</f>
        <v>1</v>
      </c>
      <c r="G106" s="272"/>
      <c r="H106" s="272"/>
      <c r="I106" s="272"/>
      <c r="J106" s="273">
        <v>1</v>
      </c>
    </row>
    <row r="107" spans="2:10" ht="76.5" x14ac:dyDescent="0.25">
      <c r="B107" s="138" t="str">
        <f>Orçamento!B114</f>
        <v>9.3</v>
      </c>
      <c r="C107" s="2" t="str">
        <f>Orçamento!C114</f>
        <v>SINAPI/19     83400</v>
      </c>
      <c r="D107" s="2" t="str">
        <f>Orçamento!D114</f>
        <v>BRACO P/ ILUMINACAO DE RUAS EM TUBO ACO GALV 1" COMP = 1,20M E INCLINACAO 25GRAUS EM RELACAO AO PLANO VERTICAL P/ FIXACAO EM POSTE OU PAREDE - FORNECIMENTO E INSTALACAO</v>
      </c>
      <c r="E107" s="3" t="str">
        <f>Orçamento!E114</f>
        <v>UNID</v>
      </c>
      <c r="F107" s="31">
        <f>Orçamento!F114</f>
        <v>1</v>
      </c>
      <c r="G107" s="272"/>
      <c r="H107" s="272"/>
      <c r="I107" s="272"/>
      <c r="J107" s="273">
        <v>1</v>
      </c>
    </row>
    <row r="108" spans="2:10" ht="63.75" x14ac:dyDescent="0.25">
      <c r="B108" s="138" t="str">
        <f>Orçamento!B115</f>
        <v>9.4</v>
      </c>
      <c r="C108" s="2" t="str">
        <f>Orçamento!C115</f>
        <v>SINAPI/19   83475</v>
      </c>
      <c r="D108" s="2" t="str">
        <f>Orçamento!D115</f>
        <v>LUMINARIA FECHADA PARA ILUMINACAO PUBLICA COM REATOR DE PARTIDA RAPIDA COM LAMPADA A VAPOR DE MERCURIO 250W - FORNECIMENTO E INSTALACAO</v>
      </c>
      <c r="E108" s="3" t="str">
        <f>Orçamento!E115</f>
        <v>UNID</v>
      </c>
      <c r="F108" s="31">
        <f>Orçamento!F115</f>
        <v>1</v>
      </c>
      <c r="G108" s="272"/>
      <c r="H108" s="272"/>
      <c r="I108" s="272"/>
      <c r="J108" s="273">
        <v>1</v>
      </c>
    </row>
    <row r="109" spans="2:10" ht="51" x14ac:dyDescent="0.25">
      <c r="B109" s="138" t="str">
        <f>Orçamento!B116</f>
        <v>9.5</v>
      </c>
      <c r="C109" s="2" t="str">
        <f>Orçamento!C116</f>
        <v>SINAPI/19   83399</v>
      </c>
      <c r="D109" s="2" t="str">
        <f>Orçamento!D116</f>
        <v>RELE FOTOELETRICO P/ COMANDO DE ILUMINACAO EXTERNA 220V/1000W - FORNECIMENTO E INSTALACAO</v>
      </c>
      <c r="E109" s="3" t="str">
        <f>Orçamento!E116</f>
        <v>UNID</v>
      </c>
      <c r="F109" s="31">
        <f>Orçamento!F116</f>
        <v>1</v>
      </c>
      <c r="G109" s="272"/>
      <c r="H109" s="272"/>
      <c r="I109" s="272"/>
      <c r="J109" s="273">
        <v>1</v>
      </c>
    </row>
    <row r="110" spans="2:10" ht="51" x14ac:dyDescent="0.25">
      <c r="B110" s="138" t="str">
        <f>Orçamento!B117</f>
        <v>9.6</v>
      </c>
      <c r="C110" s="2" t="str">
        <f>Orçamento!C117</f>
        <v>COMPOSIÇÃO 05</v>
      </c>
      <c r="D110" s="2" t="str">
        <f>Orçamento!D117</f>
        <v>CAIXA DE PROTECAO PARA 1 MEDIDOR TRIFASICO, EM CHAPA DE ACO 20 USG (PADRAO DA CONCESSIONARIA LOCAL)</v>
      </c>
      <c r="E110" s="3" t="str">
        <f>Orçamento!E117</f>
        <v>UNID</v>
      </c>
      <c r="F110" s="31">
        <f>Orçamento!F117</f>
        <v>1</v>
      </c>
      <c r="G110" s="272"/>
      <c r="H110" s="272"/>
      <c r="I110" s="272"/>
      <c r="J110" s="273">
        <v>1</v>
      </c>
    </row>
    <row r="111" spans="2:10" ht="102" x14ac:dyDescent="0.25">
      <c r="B111" s="138" t="str">
        <f>Orçamento!B118</f>
        <v>9.7</v>
      </c>
      <c r="C111" s="2" t="str">
        <f>Orçamento!C118</f>
        <v>EMLURB - 18 18.09.030</v>
      </c>
      <c r="D111" s="2" t="str">
        <f>Orçamento!D118</f>
        <v xml:space="preserve">FORNECIMENTO E ASSENTAMENTO DE CAIXA PARA MEDICAO TRIFASICA E CAIXA PARA DISJUNTOR TRIFASICO DE POLICARBONATO E NORYL CINZA, INCLUSIVE BUCHAS PLASTICAS E PARAFUSOS PARA INSTALACAO DAS CAIXAS EM PAREDE (PADRAO CELPE) SEM DISJUNTOR. </v>
      </c>
      <c r="E111" s="3" t="str">
        <f>Orçamento!E118</f>
        <v>UNID</v>
      </c>
      <c r="F111" s="31">
        <f>Orçamento!F118</f>
        <v>1</v>
      </c>
      <c r="G111" s="272"/>
      <c r="H111" s="272"/>
      <c r="I111" s="272"/>
      <c r="J111" s="273">
        <v>1</v>
      </c>
    </row>
    <row r="112" spans="2:10" ht="38.25" x14ac:dyDescent="0.25">
      <c r="B112" s="138" t="str">
        <f>Orçamento!B119</f>
        <v>9.8</v>
      </c>
      <c r="C112" s="2" t="str">
        <f>Orçamento!C119</f>
        <v>SINAPI/19   96986</v>
      </c>
      <c r="D112" s="2" t="str">
        <f>Orçamento!D119</f>
        <v>HASTE DE ATERRAMENTO 3/4 PARA SPDA - FORNECIMENTO E INSTALAÇÃO. AF_12/2016</v>
      </c>
      <c r="E112" s="3" t="str">
        <f>Orçamento!E119</f>
        <v>UNID</v>
      </c>
      <c r="F112" s="31">
        <f>Orçamento!F119</f>
        <v>4</v>
      </c>
      <c r="G112" s="272"/>
      <c r="H112" s="272"/>
      <c r="I112" s="272"/>
      <c r="J112" s="273">
        <v>4</v>
      </c>
    </row>
    <row r="113" spans="2:10" ht="63.75" x14ac:dyDescent="0.25">
      <c r="B113" s="138" t="str">
        <f>Orçamento!B120</f>
        <v>9.9</v>
      </c>
      <c r="C113" s="2" t="str">
        <f>Orçamento!C120</f>
        <v>SINAPI/19   97887</v>
      </c>
      <c r="D113" s="2" t="str">
        <f>Orçamento!D120</f>
        <v>CAIXA ENTERRADA ELÉTRICA RETANGULAR, EM ALVENARIA COM TIJOLOS CERÂMICOS MACIÇOS, FUNDO COM BRITA, DIMENSÕES INTERNAS: 0,4X0,4X0,4 M. AF_05/2018</v>
      </c>
      <c r="E113" s="3" t="str">
        <f>Orçamento!E120</f>
        <v>UNID</v>
      </c>
      <c r="F113" s="31">
        <f>Orçamento!F120</f>
        <v>4</v>
      </c>
      <c r="G113" s="272"/>
      <c r="H113" s="272"/>
      <c r="I113" s="272"/>
      <c r="J113" s="273">
        <v>4</v>
      </c>
    </row>
    <row r="114" spans="2:10" ht="89.25" x14ac:dyDescent="0.25">
      <c r="B114" s="138" t="str">
        <f>Orçamento!B121</f>
        <v>9.10</v>
      </c>
      <c r="C114" s="2" t="str">
        <f>Orçamento!C121</f>
        <v xml:space="preserve">SINAPI/19   74131/006 </v>
      </c>
      <c r="D114" s="2" t="str">
        <f>Orçamento!D121</f>
        <v>QUADRO DE DISTRIBUICAO DE ENERGIA DE EMBUTIR, EM CHAPA METALICA, PARA 32 DISJUNTORES TERMOMAGNETICOS MONOPOLARES, COM BARRAMENTO TRIFASICO E NEUTRO, FORNECIMENTO E INSTALACAO</v>
      </c>
      <c r="E114" s="3" t="str">
        <f>Orçamento!E121</f>
        <v>UNID</v>
      </c>
      <c r="F114" s="31">
        <f>Orçamento!F121</f>
        <v>1</v>
      </c>
      <c r="G114" s="272"/>
      <c r="H114" s="272"/>
      <c r="I114" s="272"/>
      <c r="J114" s="273">
        <v>1</v>
      </c>
    </row>
    <row r="115" spans="2:10" ht="51" x14ac:dyDescent="0.25">
      <c r="B115" s="138" t="str">
        <f>Orçamento!B122</f>
        <v>9.11</v>
      </c>
      <c r="C115" s="2" t="str">
        <f>Orçamento!C122</f>
        <v>SINAPI/19   93655</v>
      </c>
      <c r="D115" s="2" t="str">
        <f>Orçamento!D122</f>
        <v>DISJUNTOR MONOPOLAR TIPO DIN, CORRENTE NOMINAL DE 20A - FORNECIMENTO E INSTALAÇÃO. AF_04/2016</v>
      </c>
      <c r="E115" s="3" t="str">
        <f>Orçamento!E122</f>
        <v>UNID</v>
      </c>
      <c r="F115" s="31">
        <f>Orçamento!F122</f>
        <v>25</v>
      </c>
      <c r="G115" s="272"/>
      <c r="H115" s="272"/>
      <c r="I115" s="272"/>
      <c r="J115" s="273">
        <v>25</v>
      </c>
    </row>
    <row r="116" spans="2:10" ht="51" x14ac:dyDescent="0.25">
      <c r="B116" s="138" t="str">
        <f>Orçamento!B123</f>
        <v>9.12</v>
      </c>
      <c r="C116" s="2" t="str">
        <f>Orçamento!C123</f>
        <v>SINAPI/19   93657</v>
      </c>
      <c r="D116" s="2" t="str">
        <f>Orçamento!D123</f>
        <v>DISJUNTOR MONOPOLAR TIPO DIN, CORRENTE NOMINAL DE 32A - FORNECIMENTO E INSTALAÇÃO. AF_04/2016</v>
      </c>
      <c r="E116" s="3" t="str">
        <f>Orçamento!E123</f>
        <v>UNID</v>
      </c>
      <c r="F116" s="31">
        <f>Orçamento!F123</f>
        <v>8</v>
      </c>
      <c r="G116" s="272"/>
      <c r="H116" s="272"/>
      <c r="I116" s="272"/>
      <c r="J116" s="273">
        <v>8</v>
      </c>
    </row>
    <row r="117" spans="2:10" ht="51" x14ac:dyDescent="0.25">
      <c r="B117" s="138" t="str">
        <f>Orçamento!B125</f>
        <v>9.14</v>
      </c>
      <c r="C117" s="2" t="str">
        <f>Orçamento!C125</f>
        <v>SINAPI/19   91926</v>
      </c>
      <c r="D117" s="2" t="str">
        <f>Orçamento!D125</f>
        <v>CABO DE COBRE FLEXÍVEL ISOLADO, 2,5 MM², ANTI-CHAMA 450/750 V, PARA CIRCUITOS TERMINAIS - FORNECIMENTO E INSTALAÇÃO</v>
      </c>
      <c r="E117" s="3" t="str">
        <f>Orçamento!E125</f>
        <v>M</v>
      </c>
      <c r="F117" s="31">
        <f>Orçamento!F125</f>
        <v>700</v>
      </c>
      <c r="G117" s="272"/>
      <c r="H117" s="272"/>
      <c r="I117" s="272"/>
      <c r="J117" s="273">
        <v>700</v>
      </c>
    </row>
    <row r="118" spans="2:10" ht="51" x14ac:dyDescent="0.25">
      <c r="B118" s="138" t="str">
        <f>Orçamento!B126</f>
        <v>9.15</v>
      </c>
      <c r="C118" s="2" t="str">
        <f>Orçamento!C126</f>
        <v>SINAPI/19   91928</v>
      </c>
      <c r="D118" s="2" t="str">
        <f>Orçamento!D126</f>
        <v>CABO DE COBRE FLEXÍVEL ISOLADO, 4 MM², ANTI-CHAMA 450/750 V, PARA CIRCUITOS TERMINAIS - FORNECIMENTO E INSTALAÇÃO.</v>
      </c>
      <c r="E118" s="3" t="str">
        <f>Orçamento!E126</f>
        <v>M</v>
      </c>
      <c r="F118" s="31">
        <f>Orçamento!F126</f>
        <v>600</v>
      </c>
      <c r="G118" s="272"/>
      <c r="H118" s="272"/>
      <c r="I118" s="272"/>
      <c r="J118" s="273">
        <v>600</v>
      </c>
    </row>
    <row r="119" spans="2:10" ht="63.75" x14ac:dyDescent="0.25">
      <c r="B119" s="138" t="str">
        <f>Orçamento!B127</f>
        <v>9.16</v>
      </c>
      <c r="C119" s="2" t="str">
        <f>Orçamento!C127</f>
        <v>SINAPI/19   91930</v>
      </c>
      <c r="D119" s="2" t="str">
        <f>Orçamento!D127</f>
        <v>CABO DE COBRE FLEXÍVEL ISOLADO, 6 MM², ANTI-CHAMA 450/750 V, PARA CIRCUITOS TERMINAIS - FORNECIMENTO E INSTALAÇÃO. AF_12/201</v>
      </c>
      <c r="E119" s="3" t="str">
        <f>Orçamento!E127</f>
        <v>M</v>
      </c>
      <c r="F119" s="31">
        <f>Orçamento!F127</f>
        <v>400</v>
      </c>
      <c r="G119" s="272"/>
      <c r="H119" s="272"/>
      <c r="I119" s="272"/>
      <c r="J119" s="273">
        <v>400</v>
      </c>
    </row>
    <row r="120" spans="2:10" ht="63.75" x14ac:dyDescent="0.25">
      <c r="B120" s="138" t="str">
        <f>Orçamento!B128</f>
        <v>9.17</v>
      </c>
      <c r="C120" s="2" t="str">
        <f>Orçamento!C128</f>
        <v>SINAPI/19   91932</v>
      </c>
      <c r="D120" s="2" t="str">
        <f>Orçamento!D128</f>
        <v>CABO DE COBRE FLEXÍVEL ISOLADO, 10 MM², ANTI-CHAMA 450/750 V, PARA CIR M CR 11,13
CUITOS TERMINAIS - FORNECIMENTO E INSTALAÇÃO. AF_12/2015</v>
      </c>
      <c r="E120" s="3" t="str">
        <f>Orçamento!E128</f>
        <v>M</v>
      </c>
      <c r="F120" s="31">
        <f>Orçamento!F128</f>
        <v>200</v>
      </c>
      <c r="G120" s="272"/>
      <c r="H120" s="272"/>
      <c r="I120" s="272"/>
      <c r="J120" s="273">
        <v>200</v>
      </c>
    </row>
    <row r="121" spans="2:10" ht="63.75" x14ac:dyDescent="0.25">
      <c r="B121" s="138" t="str">
        <f>Orçamento!B129</f>
        <v>9.18</v>
      </c>
      <c r="C121" s="2" t="str">
        <f>Orçamento!C129</f>
        <v>SINAPI/19   93143</v>
      </c>
      <c r="D121" s="2" t="str">
        <f>Orçamento!D129</f>
        <v>PONTO DE TOMADA RESIDENCIAL INCLUINDO TOMADA 20A/250V, CAIXA ELÉTRICA, ELETRODUTO, CABO, RASGO, QUEBRA E CHUMBAMENTO. AF_01/2016</v>
      </c>
      <c r="E121" s="3" t="str">
        <f>Orçamento!E129</f>
        <v>UNID</v>
      </c>
      <c r="F121" s="31">
        <f>Orçamento!F129</f>
        <v>20</v>
      </c>
      <c r="G121" s="272"/>
      <c r="H121" s="272"/>
      <c r="I121" s="272"/>
      <c r="J121" s="273">
        <v>20</v>
      </c>
    </row>
    <row r="122" spans="2:10" ht="76.5" x14ac:dyDescent="0.25">
      <c r="B122" s="138" t="str">
        <f>Orçamento!B130</f>
        <v>9.19</v>
      </c>
      <c r="C122" s="2" t="str">
        <f>Orçamento!C130</f>
        <v>COMPOSIÇÃO 06</v>
      </c>
      <c r="D122" s="2" t="str">
        <f>Orçamento!D130</f>
        <v>PONTO DE TOMADA ALTA RESIDENCIAL INCLUINDO TOMADA 20A/250V, CAIXA ELÉTRICA, ELETRODUTO, CABO, RASGO, QUEBRA E CHUMBAMENTO. AF_01/2016</v>
      </c>
      <c r="E122" s="3" t="str">
        <f>Orçamento!E130</f>
        <v>UNID</v>
      </c>
      <c r="F122" s="31">
        <f>Orçamento!F130</f>
        <v>20</v>
      </c>
      <c r="G122" s="272"/>
      <c r="H122" s="272"/>
      <c r="I122" s="272"/>
      <c r="J122" s="273">
        <v>20</v>
      </c>
    </row>
    <row r="123" spans="2:10" ht="76.5" x14ac:dyDescent="0.25">
      <c r="B123" s="138" t="str">
        <f>Orçamento!B131</f>
        <v>9.20</v>
      </c>
      <c r="C123" s="2" t="str">
        <f>Orçamento!C131</f>
        <v>COMPOSIÇÃO 07</v>
      </c>
      <c r="D123" s="2" t="str">
        <f>Orçamento!D131</f>
        <v>PONTO DE TOMADA BAIXA RESIDENCIAL INCLUINDO TOMADA 20A/250V, CAIXA ELÉTRICA, ELETRODUTO, CABO, RASGO, QUEBRA E CHUMBAMENTO. AF_01/2016</v>
      </c>
      <c r="E123" s="3" t="str">
        <f>Orçamento!E131</f>
        <v>UNID</v>
      </c>
      <c r="F123" s="31">
        <f>Orçamento!F131</f>
        <v>40</v>
      </c>
      <c r="G123" s="272"/>
      <c r="H123" s="272"/>
      <c r="I123" s="272"/>
      <c r="J123" s="273">
        <v>40</v>
      </c>
    </row>
    <row r="124" spans="2:10" ht="76.5" x14ac:dyDescent="0.25">
      <c r="B124" s="138" t="str">
        <f>Orçamento!B132</f>
        <v>9.21</v>
      </c>
      <c r="C124" s="2" t="str">
        <f>Orçamento!C132</f>
        <v>SINAPI/19   93128</v>
      </c>
      <c r="D124" s="2" t="str">
        <f>Orçamento!D132</f>
        <v>PONTO DE ILUMINAÇÃO RESIDENCIAL INCLUINDO INTERRUPTOR SIMPLES, CAIXA ELÉTRICA, ELETRODUTO, CABO, RASGO, QUEBRA E CHUMBAMENTO (EXCLUINDO LUMINÁRIA E LÂMPADA). AF_01/2016</v>
      </c>
      <c r="E124" s="3" t="str">
        <f>Orçamento!E132</f>
        <v>UNID</v>
      </c>
      <c r="F124" s="31">
        <f>Orçamento!F132</f>
        <v>20</v>
      </c>
      <c r="G124" s="272"/>
      <c r="H124" s="272"/>
      <c r="I124" s="272"/>
      <c r="J124" s="273">
        <v>20</v>
      </c>
    </row>
    <row r="125" spans="2:10" ht="89.25" x14ac:dyDescent="0.25">
      <c r="B125" s="138" t="str">
        <f>Orçamento!B133</f>
        <v>9.22</v>
      </c>
      <c r="C125" s="2" t="str">
        <f>Orçamento!C133</f>
        <v>SINAPI/19   93137</v>
      </c>
      <c r="D125" s="2" t="str">
        <f>Orçamento!D133</f>
        <v>PONTO DE ILUMINAÇÃO RESIDENCIAL INCLUINDO INTERRUPTOR SIMPLES (2 MÓDULOS), CAIXA ELÉTRICA, ELETRODUTO, CABO, RASGO, QUEBRA E CHUMBAMENTO (EXCLUINDO LUMINÁRIA E LÂMPADA). AF_01/2016</v>
      </c>
      <c r="E125" s="3" t="str">
        <f>Orçamento!E133</f>
        <v>UNID</v>
      </c>
      <c r="F125" s="31">
        <f>Orçamento!F133</f>
        <v>40</v>
      </c>
      <c r="G125" s="272"/>
      <c r="H125" s="272"/>
      <c r="I125" s="272"/>
      <c r="J125" s="273">
        <v>40</v>
      </c>
    </row>
    <row r="126" spans="2:10" ht="76.5" x14ac:dyDescent="0.25">
      <c r="B126" s="138" t="str">
        <f>Orçamento!B134</f>
        <v>9.23</v>
      </c>
      <c r="C126" s="2" t="str">
        <f>Orçamento!C134</f>
        <v xml:space="preserve">SINAPI/19   93138 </v>
      </c>
      <c r="D126" s="2" t="str">
        <f>Orçamento!D134</f>
        <v>PONTO DE ILUMINAÇÃO RESIDENCIAL INCLUINDO INTERRUPTOR PARALELO, CAIXA ELÉTRICA, ELETRODUTO, CABO, RASGO, QUEBRA E CHUMBAMENTO (EXCLUINDO LUMINÁRIA E LÂMPADA). AF_01/201</v>
      </c>
      <c r="E126" s="3" t="str">
        <f>Orçamento!E134</f>
        <v>UNID</v>
      </c>
      <c r="F126" s="31">
        <f>Orçamento!F134</f>
        <v>10</v>
      </c>
      <c r="G126" s="272"/>
      <c r="H126" s="272"/>
      <c r="I126" s="272"/>
      <c r="J126" s="273">
        <v>10</v>
      </c>
    </row>
    <row r="127" spans="2:10" ht="51" x14ac:dyDescent="0.25">
      <c r="B127" s="138" t="str">
        <f>Orçamento!B135</f>
        <v>9.24</v>
      </c>
      <c r="C127" s="2" t="str">
        <f>Orçamento!C135</f>
        <v>SINAPI/19   97600</v>
      </c>
      <c r="D127" s="2" t="str">
        <f>Orçamento!D135</f>
        <v>REFLETOR EM ALUMÍNIO COM SUPORTE E ALÇA, LÂMPADA 125 W - FORNECIMENTO E INSTALAÇÃO. AF_11/2017</v>
      </c>
      <c r="E127" s="3" t="str">
        <f>Orçamento!E135</f>
        <v>UNID</v>
      </c>
      <c r="F127" s="31">
        <f>Orçamento!F135</f>
        <v>5</v>
      </c>
      <c r="G127" s="272"/>
      <c r="H127" s="272"/>
      <c r="I127" s="272"/>
      <c r="J127" s="273">
        <v>5</v>
      </c>
    </row>
    <row r="128" spans="2:10" ht="38.25" x14ac:dyDescent="0.25">
      <c r="B128" s="138" t="str">
        <f>Orçamento!B136</f>
        <v>9.25</v>
      </c>
      <c r="C128" s="2" t="str">
        <f>Orçamento!C136</f>
        <v xml:space="preserve">SINAPI/19    93009 </v>
      </c>
      <c r="D128" s="2" t="str">
        <f>Orçamento!D136</f>
        <v>ELETRODUTO RÍGIDO ROSCÁVEL, PVC, DN 60 MM (2") - FORNECIMENTO E INSTALAÇÃO. AF_12/2015</v>
      </c>
      <c r="E128" s="3" t="str">
        <f>Orçamento!E136</f>
        <v>M</v>
      </c>
      <c r="F128" s="31">
        <f>Orçamento!F136</f>
        <v>500</v>
      </c>
      <c r="G128" s="272"/>
      <c r="H128" s="272"/>
      <c r="I128" s="272"/>
      <c r="J128" s="273">
        <v>500</v>
      </c>
    </row>
    <row r="129" spans="2:10" ht="51" x14ac:dyDescent="0.25">
      <c r="B129" s="138" t="str">
        <f>Orçamento!B137</f>
        <v>9.26</v>
      </c>
      <c r="C129" s="2" t="str">
        <f>Orçamento!C137</f>
        <v xml:space="preserve">SINAPI/19    93020 </v>
      </c>
      <c r="D129" s="2" t="str">
        <f>Orçamento!D137</f>
        <v>CURVA 90 GRAUS PARA ELETRODUTO, PVC, ROSCÁVEL, DN 60 MM (2") - FORNECIMENTO E INSTALAÇÃO. AF_12/2015</v>
      </c>
      <c r="E129" s="3" t="str">
        <f>Orçamento!E137</f>
        <v>UNID</v>
      </c>
      <c r="F129" s="31">
        <f>Orçamento!F137</f>
        <v>50</v>
      </c>
      <c r="G129" s="272"/>
      <c r="H129" s="272"/>
      <c r="I129" s="272"/>
      <c r="J129" s="273">
        <v>50</v>
      </c>
    </row>
    <row r="130" spans="2:10" ht="51" x14ac:dyDescent="0.25">
      <c r="B130" s="138" t="str">
        <f>Orçamento!B138</f>
        <v>9.27</v>
      </c>
      <c r="C130" s="2" t="str">
        <f>Orçamento!C138</f>
        <v>SINAPI/19    93014</v>
      </c>
      <c r="D130" s="2" t="str">
        <f>Orçamento!D138</f>
        <v>LUVA PARA ELETRODUTO, PVC, ROSCÁVEL, DN 60 MM (2") - FORNECIMENTO E INSTALAÇÃO. AF_12/2015</v>
      </c>
      <c r="E130" s="3" t="str">
        <f>Orçamento!E138</f>
        <v>UNID</v>
      </c>
      <c r="F130" s="31">
        <f>Orçamento!F138</f>
        <v>49</v>
      </c>
      <c r="G130" s="272"/>
      <c r="H130" s="272"/>
      <c r="I130" s="272"/>
      <c r="J130" s="273">
        <v>49</v>
      </c>
    </row>
    <row r="131" spans="2:10" ht="51" x14ac:dyDescent="0.25">
      <c r="B131" s="138" t="str">
        <f>Orçamento!B139</f>
        <v>9.28</v>
      </c>
      <c r="C131" s="2" t="str">
        <f>Orçamento!C139</f>
        <v>SINAPI/19    97668</v>
      </c>
      <c r="D131" s="2" t="str">
        <f>Orçamento!D139</f>
        <v>ELETRODUTO FLEXÍVEL CORRUGADO, PEAD, DN 63 (2") - FORNECIMENTO E INSTALAÇÃO. AF_04/2016</v>
      </c>
      <c r="E131" s="3" t="str">
        <f>Orçamento!E139</f>
        <v>M</v>
      </c>
      <c r="F131" s="31">
        <f>Orçamento!F139</f>
        <v>800</v>
      </c>
      <c r="G131" s="272"/>
      <c r="H131" s="272"/>
      <c r="I131" s="272"/>
      <c r="J131" s="273">
        <v>800</v>
      </c>
    </row>
    <row r="132" spans="2:10" ht="51" x14ac:dyDescent="0.25">
      <c r="B132" s="138" t="str">
        <f>Orçamento!B140</f>
        <v>9.29</v>
      </c>
      <c r="C132" s="2" t="str">
        <f>Orçamento!C140</f>
        <v>SINAPI/19   97592</v>
      </c>
      <c r="D132" s="2" t="str">
        <f>Orçamento!D140</f>
        <v>LUMINÁRIA TIPO PLAFON, DE SOBREPOR, COM 1 LÂMPADA LED - FORNECIMENTO E INSTALAÇÃO. AF_11/201</v>
      </c>
      <c r="E132" s="3" t="str">
        <f>Orçamento!E140</f>
        <v>UNID</v>
      </c>
      <c r="F132" s="31">
        <f>Orçamento!F140</f>
        <v>70</v>
      </c>
      <c r="G132" s="272"/>
      <c r="H132" s="272"/>
      <c r="I132" s="272"/>
      <c r="J132" s="273">
        <v>70</v>
      </c>
    </row>
    <row r="133" spans="2:10" x14ac:dyDescent="0.25">
      <c r="B133" s="306" t="str">
        <f>Orçamento!B141</f>
        <v>10.0</v>
      </c>
      <c r="C133" s="150"/>
      <c r="D133" s="150" t="str">
        <f>Orçamento!D141</f>
        <v>SERVIÇOS FINAIS</v>
      </c>
      <c r="E133" s="307"/>
      <c r="F133" s="308"/>
      <c r="G133" s="309"/>
      <c r="H133" s="309"/>
      <c r="I133" s="309"/>
      <c r="J133" s="310"/>
    </row>
    <row r="134" spans="2:10" ht="38.25" x14ac:dyDescent="0.25">
      <c r="B134" s="138" t="str">
        <f>Orçamento!B142</f>
        <v>10.1</v>
      </c>
      <c r="C134" s="2" t="str">
        <f>Orçamento!C142</f>
        <v>SEINFRA 026.1 - 
C1628</v>
      </c>
      <c r="D134" s="2" t="str">
        <f>Orçamento!D142</f>
        <v>LIMPEZA GERAL</v>
      </c>
      <c r="E134" s="2" t="str">
        <f>Orçamento!E142</f>
        <v>M2</v>
      </c>
      <c r="F134" s="2">
        <f>Orçamento!F142</f>
        <v>406.57</v>
      </c>
      <c r="G134" s="298">
        <v>29.02</v>
      </c>
      <c r="H134" s="298">
        <v>14.01</v>
      </c>
      <c r="I134" s="272"/>
      <c r="J134" s="273">
        <f>G134*H134</f>
        <v>406.5702</v>
      </c>
    </row>
    <row r="135" spans="2:10" ht="26.25" thickBot="1" x14ac:dyDescent="0.3">
      <c r="B135" s="274" t="str">
        <f>Orçamento!B143</f>
        <v>10.2</v>
      </c>
      <c r="C135" s="275" t="str">
        <f>Orçamento!C143</f>
        <v>COMPOSIÇÃO 08</v>
      </c>
      <c r="D135" s="275" t="str">
        <f>Orçamento!D143</f>
        <v>AS BUILT</v>
      </c>
      <c r="E135" s="275" t="str">
        <f>Orçamento!E143</f>
        <v>M2</v>
      </c>
      <c r="F135" s="275">
        <f>Orçamento!F143</f>
        <v>406.57</v>
      </c>
      <c r="G135" s="311">
        <v>29.02</v>
      </c>
      <c r="H135" s="311">
        <v>14.01</v>
      </c>
      <c r="I135" s="276"/>
      <c r="J135" s="277">
        <f>G135*H135</f>
        <v>406.5702</v>
      </c>
    </row>
  </sheetData>
  <mergeCells count="8">
    <mergeCell ref="B13:J13"/>
    <mergeCell ref="B8:J8"/>
    <mergeCell ref="D2:J2"/>
    <mergeCell ref="D3:J3"/>
    <mergeCell ref="D4:J4"/>
    <mergeCell ref="D5:J5"/>
    <mergeCell ref="D6:J6"/>
    <mergeCell ref="D7:J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Orçamento</vt:lpstr>
      <vt:lpstr>Composição</vt:lpstr>
      <vt:lpstr>Cronograma</vt:lpstr>
      <vt:lpstr>BDI</vt:lpstr>
      <vt:lpstr>Memoria de 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2019-11-07T18:04:52Z</dcterms:modified>
</cp:coreProperties>
</file>